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ville.besancon\user_data\usr_g\gapinski\Mes Documents\1 personnel annie\CFDT\livret accueil CFDT Besac\"/>
    </mc:Choice>
  </mc:AlternateContent>
  <bookViews>
    <workbookView xWindow="0" yWindow="0" windowWidth="20490" windowHeight="6465" activeTab="1"/>
  </bookViews>
  <sheets>
    <sheet name=" Simulateur de paie titulaire" sheetId="6" r:id="rId1"/>
    <sheet name="Simulateur de paie contractuel" sheetId="7" r:id="rId2"/>
    <sheet name="Catégorie C" sheetId="1" r:id="rId3"/>
    <sheet name="Catégorie B" sheetId="2" r:id="rId4"/>
    <sheet name="Catégorie A" sheetId="3" r:id="rId5"/>
  </sheets>
  <definedNames>
    <definedName name="_xlnm._FilterDatabase" localSheetId="2" hidden="1">'Catégorie C'!$A$5:$E$15</definedName>
    <definedName name="OLE_LINK2" localSheetId="2">'Catégorie C'!$H$2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7" l="1"/>
  <c r="B14" i="7"/>
  <c r="C12" i="7"/>
  <c r="C11" i="7"/>
  <c r="D17" i="7" s="1"/>
  <c r="B11" i="7"/>
  <c r="B12" i="7" s="1"/>
  <c r="A8" i="7"/>
  <c r="D37" i="6"/>
  <c r="D20" i="6"/>
  <c r="B16" i="6"/>
  <c r="C15" i="6"/>
  <c r="B14" i="6"/>
  <c r="C13" i="6"/>
  <c r="D18" i="6" s="1"/>
  <c r="A9" i="6"/>
  <c r="B13" i="6" s="1"/>
  <c r="D12" i="7" l="1"/>
  <c r="D14" i="7"/>
  <c r="D18" i="7"/>
  <c r="D11" i="7"/>
  <c r="D13" i="7" s="1"/>
  <c r="D15" i="7"/>
  <c r="D16" i="7"/>
  <c r="D13" i="6"/>
  <c r="B27" i="6" s="1"/>
  <c r="F27" i="6" s="1"/>
  <c r="D19" i="6"/>
  <c r="D14" i="6"/>
  <c r="D16" i="6"/>
  <c r="D21" i="6"/>
  <c r="D17" i="6"/>
  <c r="B15" i="6"/>
  <c r="D15" i="6" s="1"/>
  <c r="F543" i="3"/>
  <c r="F544" i="3"/>
  <c r="F545" i="3"/>
  <c r="F546" i="3"/>
  <c r="F547" i="3"/>
  <c r="F548" i="3"/>
  <c r="F549" i="3"/>
  <c r="F542" i="3"/>
  <c r="F533" i="3"/>
  <c r="F534" i="3"/>
  <c r="F535" i="3"/>
  <c r="F536" i="3"/>
  <c r="F537" i="3"/>
  <c r="F532" i="3"/>
  <c r="F518" i="3"/>
  <c r="F519" i="3"/>
  <c r="F520" i="3"/>
  <c r="F521" i="3"/>
  <c r="F522" i="3"/>
  <c r="F523" i="3"/>
  <c r="F524" i="3"/>
  <c r="F525" i="3"/>
  <c r="F526" i="3"/>
  <c r="F527" i="3"/>
  <c r="F517" i="3"/>
  <c r="F504" i="3"/>
  <c r="F505" i="3"/>
  <c r="F506" i="3"/>
  <c r="F507" i="3"/>
  <c r="F508" i="3"/>
  <c r="F509" i="3"/>
  <c r="F510" i="3"/>
  <c r="F511" i="3"/>
  <c r="F512" i="3"/>
  <c r="F503" i="3"/>
  <c r="F489" i="3"/>
  <c r="F490" i="3"/>
  <c r="F491" i="3"/>
  <c r="F492" i="3"/>
  <c r="F493" i="3"/>
  <c r="F494" i="3"/>
  <c r="F495" i="3"/>
  <c r="F496" i="3"/>
  <c r="F497" i="3"/>
  <c r="F498" i="3"/>
  <c r="F488" i="3"/>
  <c r="F477" i="3"/>
  <c r="F478" i="3"/>
  <c r="F479" i="3"/>
  <c r="F480" i="3"/>
  <c r="F481" i="3"/>
  <c r="F482" i="3"/>
  <c r="F483" i="3"/>
  <c r="F476" i="3"/>
  <c r="F462" i="3"/>
  <c r="F463" i="3"/>
  <c r="F464" i="3"/>
  <c r="F465" i="3"/>
  <c r="F466" i="3"/>
  <c r="F467" i="3"/>
  <c r="F468" i="3"/>
  <c r="F469" i="3"/>
  <c r="F470" i="3"/>
  <c r="F471" i="3"/>
  <c r="F461" i="3"/>
  <c r="F449" i="3"/>
  <c r="F450" i="3"/>
  <c r="F451" i="3"/>
  <c r="F452" i="3"/>
  <c r="F453" i="3"/>
  <c r="F454" i="3"/>
  <c r="F455" i="3"/>
  <c r="F456" i="3"/>
  <c r="F448" i="3"/>
  <c r="F434" i="3"/>
  <c r="F435" i="3"/>
  <c r="F436" i="3"/>
  <c r="F437" i="3"/>
  <c r="F438" i="3"/>
  <c r="F439" i="3"/>
  <c r="F440" i="3"/>
  <c r="F441" i="3"/>
  <c r="F442" i="3"/>
  <c r="F443" i="3"/>
  <c r="F433" i="3"/>
  <c r="F419" i="3"/>
  <c r="F420" i="3"/>
  <c r="F421" i="3"/>
  <c r="F422" i="3"/>
  <c r="F423" i="3"/>
  <c r="F424" i="3"/>
  <c r="F425" i="3"/>
  <c r="F426" i="3"/>
  <c r="F427" i="3"/>
  <c r="F428" i="3"/>
  <c r="F418" i="3"/>
  <c r="F404" i="3"/>
  <c r="F405" i="3"/>
  <c r="F406" i="3"/>
  <c r="F407" i="3"/>
  <c r="F408" i="3"/>
  <c r="F409" i="3"/>
  <c r="F410" i="3"/>
  <c r="F411" i="3"/>
  <c r="F412" i="3"/>
  <c r="F413" i="3"/>
  <c r="F403" i="3"/>
  <c r="F394" i="3"/>
  <c r="F395" i="3"/>
  <c r="F396" i="3"/>
  <c r="F397" i="3"/>
  <c r="F398" i="3"/>
  <c r="F393" i="3"/>
  <c r="F384" i="3"/>
  <c r="F385" i="3"/>
  <c r="F386" i="3"/>
  <c r="F387" i="3"/>
  <c r="F388" i="3"/>
  <c r="F383" i="3"/>
  <c r="F371" i="3"/>
  <c r="F372" i="3"/>
  <c r="F373" i="3"/>
  <c r="F374" i="3"/>
  <c r="F375" i="3"/>
  <c r="F376" i="3"/>
  <c r="F377" i="3"/>
  <c r="F378" i="3"/>
  <c r="F370" i="3"/>
  <c r="F361" i="3"/>
  <c r="F362" i="3"/>
  <c r="F363" i="3"/>
  <c r="F364" i="3"/>
  <c r="F365" i="3"/>
  <c r="F360" i="3"/>
  <c r="F349" i="3"/>
  <c r="F350" i="3"/>
  <c r="F351" i="3"/>
  <c r="F352" i="3"/>
  <c r="F353" i="3"/>
  <c r="F354" i="3"/>
  <c r="F355" i="3"/>
  <c r="F348" i="3"/>
  <c r="F333" i="3"/>
  <c r="F334" i="3"/>
  <c r="F335" i="3"/>
  <c r="F336" i="3"/>
  <c r="F337" i="3"/>
  <c r="F338" i="3"/>
  <c r="F339" i="3"/>
  <c r="F340" i="3"/>
  <c r="F341" i="3"/>
  <c r="F342" i="3"/>
  <c r="F343" i="3"/>
  <c r="F332" i="3"/>
  <c r="F318" i="3"/>
  <c r="F319" i="3"/>
  <c r="F320" i="3"/>
  <c r="F321" i="3"/>
  <c r="F322" i="3"/>
  <c r="F323" i="3"/>
  <c r="F324" i="3"/>
  <c r="F325" i="3"/>
  <c r="F326" i="3"/>
  <c r="F327" i="3"/>
  <c r="F317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299" i="3"/>
  <c r="F288" i="3"/>
  <c r="F289" i="3"/>
  <c r="F290" i="3"/>
  <c r="F291" i="3"/>
  <c r="F292" i="3"/>
  <c r="F293" i="3"/>
  <c r="F294" i="3"/>
  <c r="F287" i="3"/>
  <c r="F274" i="3"/>
  <c r="F275" i="3"/>
  <c r="F276" i="3"/>
  <c r="F277" i="3"/>
  <c r="F278" i="3"/>
  <c r="F279" i="3"/>
  <c r="F280" i="3"/>
  <c r="F281" i="3"/>
  <c r="F282" i="3"/>
  <c r="F273" i="3"/>
  <c r="F260" i="3"/>
  <c r="F261" i="3"/>
  <c r="F262" i="3"/>
  <c r="F263" i="3"/>
  <c r="F264" i="3"/>
  <c r="F265" i="3"/>
  <c r="F266" i="3"/>
  <c r="F267" i="3"/>
  <c r="F268" i="3"/>
  <c r="F259" i="3"/>
  <c r="F245" i="3"/>
  <c r="F246" i="3"/>
  <c r="F247" i="3"/>
  <c r="F248" i="3"/>
  <c r="F249" i="3"/>
  <c r="F250" i="3"/>
  <c r="F251" i="3"/>
  <c r="F252" i="3"/>
  <c r="F253" i="3"/>
  <c r="F254" i="3"/>
  <c r="F244" i="3"/>
  <c r="F232" i="3"/>
  <c r="F233" i="3"/>
  <c r="F234" i="3"/>
  <c r="F235" i="3"/>
  <c r="F236" i="3"/>
  <c r="F237" i="3"/>
  <c r="F238" i="3"/>
  <c r="F239" i="3"/>
  <c r="F231" i="3"/>
  <c r="F218" i="3"/>
  <c r="F219" i="3"/>
  <c r="F220" i="3"/>
  <c r="F221" i="3"/>
  <c r="F222" i="3"/>
  <c r="F223" i="3"/>
  <c r="F224" i="3"/>
  <c r="F225" i="3"/>
  <c r="F226" i="3"/>
  <c r="F217" i="3"/>
  <c r="F206" i="3"/>
  <c r="F207" i="3"/>
  <c r="F208" i="3"/>
  <c r="F209" i="3"/>
  <c r="F210" i="3"/>
  <c r="F211" i="3"/>
  <c r="F212" i="3"/>
  <c r="F205" i="3"/>
  <c r="F193" i="3"/>
  <c r="F194" i="3"/>
  <c r="F195" i="3"/>
  <c r="F196" i="3"/>
  <c r="F197" i="3"/>
  <c r="F198" i="3"/>
  <c r="F199" i="3"/>
  <c r="F200" i="3"/>
  <c r="F192" i="3"/>
  <c r="F183" i="3"/>
  <c r="F184" i="3"/>
  <c r="F185" i="3"/>
  <c r="F186" i="3"/>
  <c r="F187" i="3"/>
  <c r="F182" i="3"/>
  <c r="F172" i="3"/>
  <c r="F173" i="3"/>
  <c r="F174" i="3"/>
  <c r="F175" i="3"/>
  <c r="F176" i="3"/>
  <c r="F177" i="3"/>
  <c r="F171" i="3"/>
  <c r="F161" i="3"/>
  <c r="F162" i="3"/>
  <c r="F163" i="3"/>
  <c r="F164" i="3"/>
  <c r="F165" i="3"/>
  <c r="F166" i="3"/>
  <c r="F160" i="3"/>
  <c r="F149" i="3"/>
  <c r="F150" i="3"/>
  <c r="F151" i="3"/>
  <c r="F152" i="3"/>
  <c r="F153" i="3"/>
  <c r="F154" i="3"/>
  <c r="F155" i="3"/>
  <c r="F148" i="3"/>
  <c r="F135" i="3"/>
  <c r="F136" i="3"/>
  <c r="F137" i="3"/>
  <c r="F138" i="3"/>
  <c r="F139" i="3"/>
  <c r="F140" i="3"/>
  <c r="F141" i="3"/>
  <c r="F142" i="3"/>
  <c r="F143" i="3"/>
  <c r="F134" i="3"/>
  <c r="F120" i="3"/>
  <c r="F121" i="3"/>
  <c r="F122" i="3"/>
  <c r="F123" i="3"/>
  <c r="F124" i="3"/>
  <c r="F125" i="3"/>
  <c r="F126" i="3"/>
  <c r="F127" i="3"/>
  <c r="F128" i="3"/>
  <c r="F129" i="3"/>
  <c r="F119" i="3"/>
  <c r="F110" i="3"/>
  <c r="F111" i="3"/>
  <c r="F112" i="3"/>
  <c r="F113" i="3"/>
  <c r="F114" i="3"/>
  <c r="F109" i="3"/>
  <c r="F98" i="3"/>
  <c r="F99" i="3"/>
  <c r="F100" i="3"/>
  <c r="F101" i="3"/>
  <c r="F102" i="3"/>
  <c r="F103" i="3"/>
  <c r="F104" i="3"/>
  <c r="F97" i="3"/>
  <c r="F83" i="3"/>
  <c r="F84" i="3"/>
  <c r="F85" i="3"/>
  <c r="F86" i="3"/>
  <c r="F87" i="3"/>
  <c r="F88" i="3"/>
  <c r="F89" i="3"/>
  <c r="F90" i="3"/>
  <c r="F91" i="3"/>
  <c r="F92" i="3"/>
  <c r="F82" i="3"/>
  <c r="F73" i="3"/>
  <c r="F74" i="3"/>
  <c r="F75" i="3"/>
  <c r="F76" i="3"/>
  <c r="F77" i="3"/>
  <c r="F72" i="3"/>
  <c r="F60" i="3"/>
  <c r="F61" i="3"/>
  <c r="F62" i="3"/>
  <c r="F63" i="3"/>
  <c r="F64" i="3"/>
  <c r="F65" i="3"/>
  <c r="F66" i="3"/>
  <c r="F67" i="3"/>
  <c r="F59" i="3"/>
  <c r="F46" i="3"/>
  <c r="F47" i="3"/>
  <c r="F48" i="3"/>
  <c r="F49" i="3"/>
  <c r="F50" i="3"/>
  <c r="F51" i="3"/>
  <c r="F52" i="3"/>
  <c r="F53" i="3"/>
  <c r="F54" i="3"/>
  <c r="F45" i="3"/>
  <c r="F35" i="3"/>
  <c r="F36" i="3"/>
  <c r="F37" i="3"/>
  <c r="F38" i="3"/>
  <c r="F39" i="3"/>
  <c r="F40" i="3"/>
  <c r="F34" i="3"/>
  <c r="F21" i="3"/>
  <c r="F22" i="3"/>
  <c r="F23" i="3"/>
  <c r="F24" i="3"/>
  <c r="F25" i="3"/>
  <c r="F26" i="3"/>
  <c r="F27" i="3"/>
  <c r="F28" i="3"/>
  <c r="F29" i="3"/>
  <c r="F20" i="3"/>
  <c r="F6" i="3"/>
  <c r="F7" i="3"/>
  <c r="F8" i="3"/>
  <c r="F9" i="3"/>
  <c r="F10" i="3"/>
  <c r="F11" i="3"/>
  <c r="F12" i="3"/>
  <c r="F13" i="3"/>
  <c r="F14" i="3"/>
  <c r="F15" i="3"/>
  <c r="F5" i="3"/>
  <c r="B29" i="6" l="1"/>
  <c r="F29" i="6" s="1"/>
  <c r="B30" i="6"/>
  <c r="F30" i="6" s="1"/>
  <c r="B32" i="6"/>
  <c r="D19" i="7"/>
  <c r="B31" i="7" s="1"/>
  <c r="B13" i="7"/>
  <c r="B22" i="7"/>
  <c r="D22" i="7" s="1"/>
  <c r="B20" i="7"/>
  <c r="D20" i="7" s="1"/>
  <c r="B21" i="7"/>
  <c r="D21" i="7" s="1"/>
  <c r="B28" i="6"/>
  <c r="F28" i="6" s="1"/>
  <c r="B26" i="6"/>
  <c r="F26" i="6" s="1"/>
  <c r="B31" i="6"/>
  <c r="F31" i="6" s="1"/>
  <c r="D22" i="6"/>
  <c r="D45" i="6" s="1"/>
  <c r="B33" i="6"/>
  <c r="B34" i="6"/>
  <c r="F34" i="6" s="1"/>
  <c r="D32" i="6"/>
  <c r="F32" i="6"/>
  <c r="B24" i="6"/>
  <c r="D24" i="6" s="1"/>
  <c r="B35" i="6"/>
  <c r="F35" i="6" s="1"/>
  <c r="B36" i="6"/>
  <c r="F36" i="6" s="1"/>
  <c r="B23" i="6"/>
  <c r="D23" i="6" s="1"/>
  <c r="B25" i="6"/>
  <c r="D25" i="6" s="1"/>
  <c r="C549" i="3"/>
  <c r="C548" i="3"/>
  <c r="C547" i="3"/>
  <c r="C546" i="3"/>
  <c r="C545" i="3"/>
  <c r="C544" i="3"/>
  <c r="C543" i="3"/>
  <c r="C542" i="3"/>
  <c r="C537" i="3"/>
  <c r="C536" i="3"/>
  <c r="C535" i="3"/>
  <c r="C534" i="3"/>
  <c r="C533" i="3"/>
  <c r="C532" i="3"/>
  <c r="C527" i="3"/>
  <c r="C526" i="3"/>
  <c r="C525" i="3"/>
  <c r="C524" i="3"/>
  <c r="C523" i="3"/>
  <c r="C522" i="3"/>
  <c r="C521" i="3"/>
  <c r="C520" i="3"/>
  <c r="C519" i="3"/>
  <c r="C518" i="3"/>
  <c r="C517" i="3"/>
  <c r="C512" i="3"/>
  <c r="C511" i="3"/>
  <c r="C510" i="3"/>
  <c r="C509" i="3"/>
  <c r="C508" i="3"/>
  <c r="C507" i="3"/>
  <c r="C506" i="3"/>
  <c r="C505" i="3"/>
  <c r="C504" i="3"/>
  <c r="C503" i="3"/>
  <c r="C498" i="3"/>
  <c r="C497" i="3"/>
  <c r="C496" i="3"/>
  <c r="C495" i="3"/>
  <c r="C494" i="3"/>
  <c r="C493" i="3"/>
  <c r="C492" i="3"/>
  <c r="C491" i="3"/>
  <c r="C490" i="3"/>
  <c r="C489" i="3"/>
  <c r="C488" i="3"/>
  <c r="C483" i="3"/>
  <c r="C482" i="3"/>
  <c r="C481" i="3"/>
  <c r="C480" i="3"/>
  <c r="C479" i="3"/>
  <c r="C478" i="3"/>
  <c r="C477" i="3"/>
  <c r="C476" i="3"/>
  <c r="C471" i="3"/>
  <c r="C470" i="3"/>
  <c r="C469" i="3"/>
  <c r="C468" i="3"/>
  <c r="C467" i="3"/>
  <c r="C466" i="3"/>
  <c r="C465" i="3"/>
  <c r="C464" i="3"/>
  <c r="C463" i="3"/>
  <c r="C462" i="3"/>
  <c r="C461" i="3"/>
  <c r="C456" i="3"/>
  <c r="C455" i="3"/>
  <c r="C454" i="3"/>
  <c r="C453" i="3"/>
  <c r="C452" i="3"/>
  <c r="C451" i="3"/>
  <c r="C450" i="3"/>
  <c r="C449" i="3"/>
  <c r="C448" i="3"/>
  <c r="C443" i="3"/>
  <c r="C442" i="3"/>
  <c r="C441" i="3"/>
  <c r="C440" i="3"/>
  <c r="C439" i="3"/>
  <c r="C438" i="3"/>
  <c r="C437" i="3"/>
  <c r="C436" i="3"/>
  <c r="C435" i="3"/>
  <c r="C434" i="3"/>
  <c r="C433" i="3"/>
  <c r="C428" i="3"/>
  <c r="C427" i="3"/>
  <c r="C426" i="3"/>
  <c r="C425" i="3"/>
  <c r="C424" i="3"/>
  <c r="C423" i="3"/>
  <c r="C422" i="3"/>
  <c r="C421" i="3"/>
  <c r="C420" i="3"/>
  <c r="C419" i="3"/>
  <c r="C418" i="3"/>
  <c r="C413" i="3"/>
  <c r="C412" i="3"/>
  <c r="C411" i="3"/>
  <c r="C410" i="3"/>
  <c r="C409" i="3"/>
  <c r="C408" i="3"/>
  <c r="C407" i="3"/>
  <c r="C406" i="3"/>
  <c r="C405" i="3"/>
  <c r="C404" i="3"/>
  <c r="C403" i="3"/>
  <c r="C398" i="3"/>
  <c r="C397" i="3"/>
  <c r="C396" i="3"/>
  <c r="C395" i="3"/>
  <c r="C394" i="3"/>
  <c r="C393" i="3"/>
  <c r="C388" i="3"/>
  <c r="C387" i="3"/>
  <c r="C386" i="3"/>
  <c r="C385" i="3"/>
  <c r="C384" i="3"/>
  <c r="C383" i="3"/>
  <c r="C378" i="3"/>
  <c r="C377" i="3"/>
  <c r="C376" i="3"/>
  <c r="C375" i="3"/>
  <c r="C374" i="3"/>
  <c r="C373" i="3"/>
  <c r="C372" i="3"/>
  <c r="C371" i="3"/>
  <c r="C370" i="3"/>
  <c r="C365" i="3"/>
  <c r="C364" i="3"/>
  <c r="C363" i="3"/>
  <c r="C362" i="3"/>
  <c r="C361" i="3"/>
  <c r="C360" i="3"/>
  <c r="C355" i="3"/>
  <c r="C354" i="3"/>
  <c r="C353" i="3"/>
  <c r="C352" i="3"/>
  <c r="C351" i="3"/>
  <c r="C350" i="3"/>
  <c r="C349" i="3"/>
  <c r="C348" i="3"/>
  <c r="C343" i="3"/>
  <c r="C342" i="3"/>
  <c r="C341" i="3"/>
  <c r="C340" i="3"/>
  <c r="C339" i="3"/>
  <c r="C338" i="3"/>
  <c r="C337" i="3"/>
  <c r="C336" i="3"/>
  <c r="C335" i="3"/>
  <c r="C334" i="3"/>
  <c r="C333" i="3"/>
  <c r="C332" i="3"/>
  <c r="C327" i="3"/>
  <c r="C326" i="3"/>
  <c r="C325" i="3"/>
  <c r="C324" i="3"/>
  <c r="C323" i="3"/>
  <c r="C322" i="3"/>
  <c r="C321" i="3"/>
  <c r="C320" i="3"/>
  <c r="C319" i="3"/>
  <c r="C318" i="3"/>
  <c r="C317" i="3"/>
  <c r="C312" i="3"/>
  <c r="C311" i="3"/>
  <c r="C310" i="3"/>
  <c r="C309" i="3"/>
  <c r="C308" i="3"/>
  <c r="C307" i="3"/>
  <c r="C306" i="3"/>
  <c r="C305" i="3"/>
  <c r="C304" i="3"/>
  <c r="C303" i="3"/>
  <c r="C302" i="3"/>
  <c r="C301" i="3"/>
  <c r="C300" i="3"/>
  <c r="C299" i="3"/>
  <c r="C294" i="3"/>
  <c r="C293" i="3"/>
  <c r="C292" i="3"/>
  <c r="C291" i="3"/>
  <c r="C290" i="3"/>
  <c r="C289" i="3"/>
  <c r="C288" i="3"/>
  <c r="C287" i="3"/>
  <c r="C282" i="3"/>
  <c r="C281" i="3"/>
  <c r="C280" i="3"/>
  <c r="C279" i="3"/>
  <c r="C278" i="3"/>
  <c r="C277" i="3"/>
  <c r="C276" i="3"/>
  <c r="C275" i="3"/>
  <c r="C274" i="3"/>
  <c r="C273" i="3"/>
  <c r="C268" i="3"/>
  <c r="C267" i="3"/>
  <c r="C266" i="3"/>
  <c r="C265" i="3"/>
  <c r="C264" i="3"/>
  <c r="C263" i="3"/>
  <c r="C262" i="3"/>
  <c r="C261" i="3"/>
  <c r="C260" i="3"/>
  <c r="C259" i="3"/>
  <c r="C254" i="3"/>
  <c r="C253" i="3"/>
  <c r="C252" i="3"/>
  <c r="C251" i="3"/>
  <c r="C250" i="3"/>
  <c r="C249" i="3"/>
  <c r="C248" i="3"/>
  <c r="C247" i="3"/>
  <c r="C246" i="3"/>
  <c r="C245" i="3"/>
  <c r="C244" i="3"/>
  <c r="C239" i="3"/>
  <c r="C238" i="3"/>
  <c r="C237" i="3"/>
  <c r="C236" i="3"/>
  <c r="C235" i="3"/>
  <c r="C234" i="3"/>
  <c r="C233" i="3"/>
  <c r="C232" i="3"/>
  <c r="C231" i="3"/>
  <c r="C226" i="3"/>
  <c r="C225" i="3"/>
  <c r="C224" i="3"/>
  <c r="C223" i="3"/>
  <c r="C222" i="3"/>
  <c r="C221" i="3"/>
  <c r="C220" i="3"/>
  <c r="C219" i="3"/>
  <c r="C218" i="3"/>
  <c r="C217" i="3"/>
  <c r="C212" i="3"/>
  <c r="C211" i="3"/>
  <c r="C210" i="3"/>
  <c r="C209" i="3"/>
  <c r="C208" i="3"/>
  <c r="C207" i="3"/>
  <c r="C206" i="3"/>
  <c r="C205" i="3"/>
  <c r="C200" i="3"/>
  <c r="C199" i="3"/>
  <c r="C198" i="3"/>
  <c r="C197" i="3"/>
  <c r="C196" i="3"/>
  <c r="C195" i="3"/>
  <c r="C194" i="3"/>
  <c r="C193" i="3"/>
  <c r="C192" i="3"/>
  <c r="C187" i="3"/>
  <c r="C186" i="3"/>
  <c r="C185" i="3"/>
  <c r="C184" i="3"/>
  <c r="C183" i="3"/>
  <c r="C182" i="3"/>
  <c r="C177" i="3"/>
  <c r="C176" i="3"/>
  <c r="C175" i="3"/>
  <c r="C174" i="3"/>
  <c r="C173" i="3"/>
  <c r="C172" i="3"/>
  <c r="C171" i="3"/>
  <c r="C166" i="3"/>
  <c r="C165" i="3"/>
  <c r="C164" i="3"/>
  <c r="C163" i="3"/>
  <c r="C162" i="3"/>
  <c r="C161" i="3"/>
  <c r="C160" i="3"/>
  <c r="C155" i="3"/>
  <c r="C154" i="3"/>
  <c r="C153" i="3"/>
  <c r="C152" i="3"/>
  <c r="C151" i="3"/>
  <c r="C150" i="3"/>
  <c r="C149" i="3"/>
  <c r="C148" i="3"/>
  <c r="C143" i="3"/>
  <c r="C142" i="3"/>
  <c r="C141" i="3"/>
  <c r="C140" i="3"/>
  <c r="C139" i="3"/>
  <c r="C138" i="3"/>
  <c r="C137" i="3"/>
  <c r="C136" i="3"/>
  <c r="C135" i="3"/>
  <c r="C134" i="3"/>
  <c r="C129" i="3"/>
  <c r="C128" i="3"/>
  <c r="C127" i="3"/>
  <c r="C126" i="3"/>
  <c r="C125" i="3"/>
  <c r="C124" i="3"/>
  <c r="C123" i="3"/>
  <c r="C122" i="3"/>
  <c r="C121" i="3"/>
  <c r="C120" i="3"/>
  <c r="C119" i="3"/>
  <c r="C114" i="3"/>
  <c r="C113" i="3"/>
  <c r="C112" i="3"/>
  <c r="C111" i="3"/>
  <c r="C110" i="3"/>
  <c r="C109" i="3"/>
  <c r="C104" i="3"/>
  <c r="C103" i="3"/>
  <c r="C102" i="3"/>
  <c r="C101" i="3"/>
  <c r="C100" i="3"/>
  <c r="C99" i="3"/>
  <c r="C98" i="3"/>
  <c r="C97" i="3"/>
  <c r="C92" i="3"/>
  <c r="C91" i="3"/>
  <c r="C90" i="3"/>
  <c r="C89" i="3"/>
  <c r="C88" i="3"/>
  <c r="C87" i="3"/>
  <c r="C86" i="3"/>
  <c r="C85" i="3"/>
  <c r="C84" i="3"/>
  <c r="C83" i="3"/>
  <c r="C82" i="3"/>
  <c r="C77" i="3"/>
  <c r="C76" i="3"/>
  <c r="C75" i="3"/>
  <c r="C74" i="3"/>
  <c r="C73" i="3"/>
  <c r="C72" i="3"/>
  <c r="C67" i="3"/>
  <c r="C66" i="3"/>
  <c r="C65" i="3"/>
  <c r="C64" i="3"/>
  <c r="C63" i="3"/>
  <c r="C62" i="3"/>
  <c r="C61" i="3"/>
  <c r="C60" i="3"/>
  <c r="C59" i="3"/>
  <c r="C54" i="3"/>
  <c r="C53" i="3"/>
  <c r="C52" i="3"/>
  <c r="C51" i="3"/>
  <c r="C50" i="3"/>
  <c r="C49" i="3"/>
  <c r="C48" i="3"/>
  <c r="C47" i="3"/>
  <c r="C46" i="3"/>
  <c r="C45" i="3"/>
  <c r="C40" i="3"/>
  <c r="C39" i="3"/>
  <c r="C38" i="3"/>
  <c r="C37" i="3"/>
  <c r="C36" i="3"/>
  <c r="C35" i="3"/>
  <c r="C34" i="3"/>
  <c r="C29" i="3"/>
  <c r="C28" i="3"/>
  <c r="C27" i="3"/>
  <c r="C26" i="3"/>
  <c r="C25" i="3"/>
  <c r="C24" i="3"/>
  <c r="C23" i="3"/>
  <c r="C22" i="3"/>
  <c r="C21" i="3"/>
  <c r="C20" i="3"/>
  <c r="C15" i="3"/>
  <c r="C14" i="3"/>
  <c r="C13" i="3"/>
  <c r="C12" i="3"/>
  <c r="C11" i="3"/>
  <c r="C10" i="3"/>
  <c r="C9" i="3"/>
  <c r="C8" i="3"/>
  <c r="C7" i="3"/>
  <c r="C6" i="3"/>
  <c r="C5" i="3"/>
  <c r="C78" i="2"/>
  <c r="C77" i="2"/>
  <c r="C76" i="2"/>
  <c r="C75" i="2"/>
  <c r="C74" i="2"/>
  <c r="C73" i="2"/>
  <c r="C72" i="2"/>
  <c r="C71" i="2"/>
  <c r="C70" i="2"/>
  <c r="C69" i="2"/>
  <c r="C68" i="2"/>
  <c r="C63" i="2"/>
  <c r="C62" i="2"/>
  <c r="C61" i="2"/>
  <c r="C60" i="2"/>
  <c r="C59" i="2"/>
  <c r="C58" i="2"/>
  <c r="C57" i="2"/>
  <c r="C56" i="2"/>
  <c r="C55" i="2"/>
  <c r="C54" i="2"/>
  <c r="C53" i="2"/>
  <c r="C48" i="2"/>
  <c r="C47" i="2"/>
  <c r="C46" i="2"/>
  <c r="C45" i="2"/>
  <c r="C44" i="2"/>
  <c r="C43" i="2"/>
  <c r="C42" i="2"/>
  <c r="C41" i="2"/>
  <c r="C40" i="2"/>
  <c r="C39" i="2"/>
  <c r="C38" i="2"/>
  <c r="C33" i="2"/>
  <c r="C32" i="2"/>
  <c r="C31" i="2"/>
  <c r="C30" i="2"/>
  <c r="C29" i="2"/>
  <c r="C28" i="2"/>
  <c r="C27" i="2"/>
  <c r="C26" i="2"/>
  <c r="C25" i="2"/>
  <c r="C24" i="2"/>
  <c r="C23" i="2"/>
  <c r="C22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105" i="1"/>
  <c r="C104" i="1"/>
  <c r="C103" i="1"/>
  <c r="C102" i="1"/>
  <c r="C101" i="1"/>
  <c r="C100" i="1"/>
  <c r="C99" i="1"/>
  <c r="C98" i="1"/>
  <c r="C97" i="1"/>
  <c r="C92" i="1"/>
  <c r="C91" i="1"/>
  <c r="C90" i="1"/>
  <c r="C89" i="1"/>
  <c r="C88" i="1"/>
  <c r="C87" i="1"/>
  <c r="C86" i="1"/>
  <c r="C85" i="1"/>
  <c r="C84" i="1"/>
  <c r="C83" i="1"/>
  <c r="C82" i="1"/>
  <c r="C81" i="1"/>
  <c r="D45" i="7" l="1"/>
  <c r="B26" i="7"/>
  <c r="B36" i="7"/>
  <c r="F36" i="7" s="1"/>
  <c r="B34" i="7"/>
  <c r="F34" i="7" s="1"/>
  <c r="B29" i="7"/>
  <c r="F29" i="7" s="1"/>
  <c r="B27" i="7"/>
  <c r="F27" i="7" s="1"/>
  <c r="B24" i="7"/>
  <c r="B32" i="7"/>
  <c r="B25" i="7"/>
  <c r="F25" i="7" s="1"/>
  <c r="B35" i="7"/>
  <c r="F35" i="7" s="1"/>
  <c r="B33" i="7"/>
  <c r="F33" i="7" s="1"/>
  <c r="B30" i="7"/>
  <c r="F30" i="7" s="1"/>
  <c r="B28" i="7"/>
  <c r="F28" i="7" s="1"/>
  <c r="B23" i="7"/>
  <c r="F23" i="7" s="1"/>
  <c r="F33" i="6"/>
  <c r="F40" i="6" s="1"/>
  <c r="E45" i="6" s="1"/>
  <c r="F45" i="6" s="1"/>
  <c r="D33" i="6"/>
  <c r="D40" i="6" s="1"/>
  <c r="C76" i="1"/>
  <c r="C75" i="1"/>
  <c r="C74" i="1"/>
  <c r="C73" i="1"/>
  <c r="C72" i="1"/>
  <c r="C71" i="1"/>
  <c r="C70" i="1"/>
  <c r="C69" i="1"/>
  <c r="C68" i="1"/>
  <c r="C67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5" i="1"/>
  <c r="C44" i="1"/>
  <c r="C43" i="1"/>
  <c r="C42" i="1"/>
  <c r="C41" i="1"/>
  <c r="C40" i="1"/>
  <c r="C39" i="1"/>
  <c r="C38" i="1"/>
  <c r="C37" i="1"/>
  <c r="C36" i="1"/>
  <c r="C31" i="1"/>
  <c r="C30" i="1"/>
  <c r="C29" i="1"/>
  <c r="C28" i="1"/>
  <c r="C27" i="1"/>
  <c r="C26" i="1"/>
  <c r="C25" i="1"/>
  <c r="C24" i="1"/>
  <c r="C23" i="1"/>
  <c r="C22" i="1"/>
  <c r="C21" i="1"/>
  <c r="C20" i="1"/>
  <c r="C15" i="1"/>
  <c r="C14" i="1"/>
  <c r="C13" i="1"/>
  <c r="C12" i="1"/>
  <c r="C11" i="1"/>
  <c r="C10" i="1"/>
  <c r="C9" i="1"/>
  <c r="C8" i="1"/>
  <c r="C7" i="1"/>
  <c r="C6" i="1"/>
  <c r="E6" i="1" s="1"/>
  <c r="C5" i="1"/>
  <c r="E5" i="1"/>
  <c r="D24" i="7" l="1"/>
  <c r="F24" i="7"/>
  <c r="F32" i="7"/>
  <c r="D32" i="7"/>
  <c r="F26" i="7"/>
  <c r="D26" i="7"/>
  <c r="D31" i="7"/>
  <c r="F31" i="7"/>
  <c r="E549" i="3"/>
  <c r="E548" i="3"/>
  <c r="E547" i="3"/>
  <c r="E546" i="3"/>
  <c r="E545" i="3"/>
  <c r="E544" i="3"/>
  <c r="E543" i="3"/>
  <c r="E542" i="3"/>
  <c r="E537" i="3"/>
  <c r="E536" i="3"/>
  <c r="E535" i="3"/>
  <c r="E534" i="3"/>
  <c r="E533" i="3"/>
  <c r="E532" i="3"/>
  <c r="E527" i="3"/>
  <c r="E526" i="3"/>
  <c r="E525" i="3"/>
  <c r="E524" i="3"/>
  <c r="E523" i="3"/>
  <c r="E522" i="3"/>
  <c r="E521" i="3"/>
  <c r="E520" i="3"/>
  <c r="E519" i="3"/>
  <c r="E518" i="3"/>
  <c r="E517" i="3"/>
  <c r="E512" i="3"/>
  <c r="E511" i="3"/>
  <c r="E510" i="3"/>
  <c r="E509" i="3"/>
  <c r="E508" i="3"/>
  <c r="E507" i="3"/>
  <c r="E506" i="3"/>
  <c r="E505" i="3"/>
  <c r="E504" i="3"/>
  <c r="E503" i="3"/>
  <c r="E498" i="3"/>
  <c r="E497" i="3"/>
  <c r="E496" i="3"/>
  <c r="E495" i="3"/>
  <c r="E494" i="3"/>
  <c r="E493" i="3"/>
  <c r="E492" i="3"/>
  <c r="E491" i="3"/>
  <c r="E490" i="3"/>
  <c r="E489" i="3"/>
  <c r="E488" i="3"/>
  <c r="E483" i="3"/>
  <c r="E482" i="3"/>
  <c r="E481" i="3"/>
  <c r="E480" i="3"/>
  <c r="E479" i="3"/>
  <c r="E478" i="3"/>
  <c r="E477" i="3"/>
  <c r="E476" i="3"/>
  <c r="E471" i="3"/>
  <c r="E470" i="3"/>
  <c r="E469" i="3"/>
  <c r="E468" i="3"/>
  <c r="E467" i="3"/>
  <c r="E466" i="3"/>
  <c r="E465" i="3"/>
  <c r="E464" i="3"/>
  <c r="E463" i="3"/>
  <c r="E462" i="3"/>
  <c r="E461" i="3"/>
  <c r="E456" i="3"/>
  <c r="E455" i="3"/>
  <c r="E454" i="3"/>
  <c r="E453" i="3"/>
  <c r="E452" i="3"/>
  <c r="E451" i="3"/>
  <c r="E450" i="3"/>
  <c r="E449" i="3"/>
  <c r="E448" i="3"/>
  <c r="E443" i="3"/>
  <c r="E442" i="3"/>
  <c r="E441" i="3"/>
  <c r="E440" i="3"/>
  <c r="E439" i="3"/>
  <c r="E438" i="3"/>
  <c r="E437" i="3"/>
  <c r="E436" i="3"/>
  <c r="E435" i="3"/>
  <c r="E434" i="3"/>
  <c r="E433" i="3"/>
  <c r="E428" i="3"/>
  <c r="E427" i="3"/>
  <c r="E426" i="3"/>
  <c r="E425" i="3"/>
  <c r="E424" i="3"/>
  <c r="E423" i="3"/>
  <c r="E422" i="3"/>
  <c r="E421" i="3"/>
  <c r="E420" i="3"/>
  <c r="E419" i="3"/>
  <c r="E418" i="3"/>
  <c r="E413" i="3"/>
  <c r="E412" i="3"/>
  <c r="E411" i="3"/>
  <c r="E410" i="3"/>
  <c r="E409" i="3"/>
  <c r="E408" i="3"/>
  <c r="E407" i="3"/>
  <c r="E406" i="3"/>
  <c r="E405" i="3"/>
  <c r="E404" i="3"/>
  <c r="E403" i="3"/>
  <c r="E398" i="3"/>
  <c r="E397" i="3"/>
  <c r="E396" i="3"/>
  <c r="E395" i="3"/>
  <c r="E394" i="3"/>
  <c r="E393" i="3"/>
  <c r="E388" i="3"/>
  <c r="E387" i="3"/>
  <c r="E386" i="3"/>
  <c r="E385" i="3"/>
  <c r="E384" i="3"/>
  <c r="E383" i="3"/>
  <c r="E378" i="3"/>
  <c r="E377" i="3"/>
  <c r="E376" i="3"/>
  <c r="E375" i="3"/>
  <c r="E374" i="3"/>
  <c r="E373" i="3"/>
  <c r="E372" i="3"/>
  <c r="E371" i="3"/>
  <c r="E370" i="3"/>
  <c r="E365" i="3"/>
  <c r="E364" i="3"/>
  <c r="E363" i="3"/>
  <c r="E362" i="3"/>
  <c r="E361" i="3"/>
  <c r="E360" i="3"/>
  <c r="E355" i="3"/>
  <c r="E354" i="3"/>
  <c r="E353" i="3"/>
  <c r="E352" i="3"/>
  <c r="E351" i="3"/>
  <c r="E350" i="3"/>
  <c r="E349" i="3"/>
  <c r="E348" i="3"/>
  <c r="E343" i="3"/>
  <c r="E342" i="3"/>
  <c r="E341" i="3"/>
  <c r="E340" i="3"/>
  <c r="E339" i="3"/>
  <c r="E338" i="3"/>
  <c r="E337" i="3"/>
  <c r="E336" i="3"/>
  <c r="E335" i="3"/>
  <c r="E334" i="3"/>
  <c r="E333" i="3"/>
  <c r="E332" i="3"/>
  <c r="E327" i="3"/>
  <c r="E326" i="3"/>
  <c r="E325" i="3"/>
  <c r="E324" i="3"/>
  <c r="E323" i="3"/>
  <c r="E322" i="3"/>
  <c r="E321" i="3"/>
  <c r="E320" i="3"/>
  <c r="E319" i="3"/>
  <c r="E318" i="3"/>
  <c r="E317" i="3"/>
  <c r="E312" i="3"/>
  <c r="E311" i="3"/>
  <c r="E310" i="3"/>
  <c r="E309" i="3"/>
  <c r="E308" i="3"/>
  <c r="E307" i="3"/>
  <c r="E306" i="3"/>
  <c r="E305" i="3"/>
  <c r="E304" i="3"/>
  <c r="E303" i="3"/>
  <c r="E302" i="3"/>
  <c r="E301" i="3"/>
  <c r="E300" i="3"/>
  <c r="E299" i="3"/>
  <c r="E294" i="3"/>
  <c r="E293" i="3"/>
  <c r="E292" i="3"/>
  <c r="E291" i="3"/>
  <c r="E290" i="3"/>
  <c r="E289" i="3"/>
  <c r="E288" i="3"/>
  <c r="E287" i="3"/>
  <c r="E282" i="3"/>
  <c r="E281" i="3"/>
  <c r="E280" i="3"/>
  <c r="E279" i="3"/>
  <c r="E278" i="3"/>
  <c r="E277" i="3"/>
  <c r="E276" i="3"/>
  <c r="E275" i="3"/>
  <c r="E274" i="3"/>
  <c r="E273" i="3"/>
  <c r="E268" i="3"/>
  <c r="E267" i="3"/>
  <c r="E266" i="3"/>
  <c r="E265" i="3"/>
  <c r="E264" i="3"/>
  <c r="E263" i="3"/>
  <c r="E262" i="3"/>
  <c r="E261" i="3"/>
  <c r="E260" i="3"/>
  <c r="E259" i="3"/>
  <c r="E254" i="3"/>
  <c r="E253" i="3"/>
  <c r="E252" i="3"/>
  <c r="E251" i="3"/>
  <c r="E250" i="3"/>
  <c r="E249" i="3"/>
  <c r="E248" i="3"/>
  <c r="E247" i="3"/>
  <c r="E246" i="3"/>
  <c r="E245" i="3"/>
  <c r="E244" i="3"/>
  <c r="E239" i="3"/>
  <c r="E238" i="3"/>
  <c r="E237" i="3"/>
  <c r="E236" i="3"/>
  <c r="E235" i="3"/>
  <c r="E234" i="3"/>
  <c r="E233" i="3"/>
  <c r="E232" i="3"/>
  <c r="E231" i="3"/>
  <c r="E226" i="3"/>
  <c r="E225" i="3"/>
  <c r="E224" i="3"/>
  <c r="E223" i="3"/>
  <c r="E222" i="3"/>
  <c r="E221" i="3"/>
  <c r="E220" i="3"/>
  <c r="E219" i="3"/>
  <c r="E218" i="3"/>
  <c r="E217" i="3"/>
  <c r="E212" i="3"/>
  <c r="E211" i="3"/>
  <c r="E210" i="3"/>
  <c r="E209" i="3"/>
  <c r="E208" i="3"/>
  <c r="E207" i="3"/>
  <c r="E206" i="3"/>
  <c r="E205" i="3"/>
  <c r="E5" i="3"/>
  <c r="E200" i="3"/>
  <c r="E199" i="3"/>
  <c r="E198" i="3"/>
  <c r="E197" i="3"/>
  <c r="E196" i="3"/>
  <c r="E195" i="3"/>
  <c r="E194" i="3"/>
  <c r="E193" i="3"/>
  <c r="E192" i="3"/>
  <c r="E187" i="3"/>
  <c r="E186" i="3"/>
  <c r="E185" i="3"/>
  <c r="E184" i="3"/>
  <c r="E183" i="3"/>
  <c r="E182" i="3"/>
  <c r="E177" i="3"/>
  <c r="E176" i="3"/>
  <c r="E175" i="3"/>
  <c r="E174" i="3"/>
  <c r="E173" i="3"/>
  <c r="E172" i="3"/>
  <c r="E171" i="3"/>
  <c r="E166" i="3"/>
  <c r="E165" i="3"/>
  <c r="E164" i="3"/>
  <c r="E163" i="3"/>
  <c r="E162" i="3"/>
  <c r="E161" i="3"/>
  <c r="E160" i="3"/>
  <c r="E155" i="3"/>
  <c r="E154" i="3"/>
  <c r="E153" i="3"/>
  <c r="E152" i="3"/>
  <c r="E151" i="3"/>
  <c r="E150" i="3"/>
  <c r="E149" i="3"/>
  <c r="E148" i="3"/>
  <c r="E143" i="3"/>
  <c r="E142" i="3"/>
  <c r="E141" i="3"/>
  <c r="E140" i="3"/>
  <c r="E139" i="3"/>
  <c r="E138" i="3"/>
  <c r="E137" i="3"/>
  <c r="E136" i="3"/>
  <c r="E135" i="3"/>
  <c r="E134" i="3"/>
  <c r="F40" i="7" l="1"/>
  <c r="E45" i="7" s="1"/>
  <c r="F45" i="7" s="1"/>
  <c r="D40" i="7"/>
  <c r="E129" i="3"/>
  <c r="E128" i="3"/>
  <c r="E127" i="3"/>
  <c r="E126" i="3"/>
  <c r="E125" i="3"/>
  <c r="E124" i="3"/>
  <c r="E123" i="3"/>
  <c r="E122" i="3"/>
  <c r="E121" i="3"/>
  <c r="E120" i="3"/>
  <c r="E119" i="3"/>
  <c r="E114" i="3"/>
  <c r="E113" i="3"/>
  <c r="E112" i="3"/>
  <c r="E111" i="3"/>
  <c r="E110" i="3"/>
  <c r="E109" i="3"/>
  <c r="E104" i="3"/>
  <c r="E103" i="3"/>
  <c r="E102" i="3"/>
  <c r="E101" i="3"/>
  <c r="E100" i="3"/>
  <c r="E99" i="3"/>
  <c r="E98" i="3"/>
  <c r="E97" i="3"/>
  <c r="E92" i="3"/>
  <c r="E91" i="3"/>
  <c r="E90" i="3"/>
  <c r="E89" i="3"/>
  <c r="E88" i="3"/>
  <c r="E87" i="3"/>
  <c r="E86" i="3"/>
  <c r="E85" i="3"/>
  <c r="E84" i="3"/>
  <c r="E83" i="3"/>
  <c r="E82" i="3"/>
  <c r="E77" i="3"/>
  <c r="E76" i="3"/>
  <c r="E75" i="3"/>
  <c r="E74" i="3"/>
  <c r="E73" i="3"/>
  <c r="E72" i="3"/>
  <c r="F69" i="2"/>
  <c r="F70" i="2"/>
  <c r="F71" i="2"/>
  <c r="F72" i="2"/>
  <c r="F73" i="2"/>
  <c r="F74" i="2"/>
  <c r="F75" i="2"/>
  <c r="F76" i="2"/>
  <c r="F77" i="2"/>
  <c r="F78" i="2"/>
  <c r="F68" i="2"/>
  <c r="E67" i="3"/>
  <c r="E66" i="3"/>
  <c r="E65" i="3"/>
  <c r="E64" i="3"/>
  <c r="E63" i="3"/>
  <c r="E62" i="3"/>
  <c r="E61" i="3"/>
  <c r="E60" i="3"/>
  <c r="E59" i="3"/>
  <c r="E54" i="3" l="1"/>
  <c r="E53" i="3"/>
  <c r="E52" i="3"/>
  <c r="E51" i="3"/>
  <c r="E50" i="3"/>
  <c r="E49" i="3"/>
  <c r="E48" i="3"/>
  <c r="E47" i="3"/>
  <c r="E46" i="3"/>
  <c r="E45" i="3"/>
  <c r="E40" i="3" l="1"/>
  <c r="E39" i="3"/>
  <c r="E38" i="3"/>
  <c r="E37" i="3"/>
  <c r="E36" i="3"/>
  <c r="E35" i="3"/>
  <c r="E34" i="3"/>
  <c r="E29" i="3"/>
  <c r="E28" i="3"/>
  <c r="E27" i="3"/>
  <c r="E26" i="3"/>
  <c r="E25" i="3"/>
  <c r="E24" i="3"/>
  <c r="E23" i="3"/>
  <c r="E22" i="3"/>
  <c r="E21" i="3"/>
  <c r="E20" i="3"/>
  <c r="E15" i="3"/>
  <c r="E14" i="3"/>
  <c r="E13" i="3"/>
  <c r="E12" i="3"/>
  <c r="E11" i="3"/>
  <c r="E10" i="3"/>
  <c r="E9" i="3"/>
  <c r="E8" i="3"/>
  <c r="E7" i="3"/>
  <c r="E6" i="3"/>
  <c r="E63" i="2"/>
  <c r="F63" i="2" s="1"/>
  <c r="E62" i="2"/>
  <c r="F62" i="2" s="1"/>
  <c r="E61" i="2"/>
  <c r="F61" i="2" s="1"/>
  <c r="E60" i="2"/>
  <c r="F60" i="2" s="1"/>
  <c r="E59" i="2"/>
  <c r="F59" i="2" s="1"/>
  <c r="E58" i="2"/>
  <c r="F58" i="2" s="1"/>
  <c r="E57" i="2"/>
  <c r="F57" i="2" s="1"/>
  <c r="E56" i="2"/>
  <c r="F56" i="2" s="1"/>
  <c r="E55" i="2"/>
  <c r="F55" i="2" s="1"/>
  <c r="E54" i="2"/>
  <c r="F54" i="2" s="1"/>
  <c r="E53" i="2"/>
  <c r="F53" i="2" s="1"/>
  <c r="E48" i="2"/>
  <c r="F48" i="2" s="1"/>
  <c r="E47" i="2"/>
  <c r="F47" i="2" s="1"/>
  <c r="E46" i="2"/>
  <c r="F46" i="2" s="1"/>
  <c r="E45" i="2"/>
  <c r="F45" i="2" s="1"/>
  <c r="E44" i="2"/>
  <c r="F44" i="2" s="1"/>
  <c r="E43" i="2"/>
  <c r="F43" i="2" s="1"/>
  <c r="E42" i="2"/>
  <c r="F42" i="2" s="1"/>
  <c r="E41" i="2"/>
  <c r="F41" i="2" s="1"/>
  <c r="E40" i="2"/>
  <c r="F40" i="2" s="1"/>
  <c r="E39" i="2"/>
  <c r="F39" i="2" s="1"/>
  <c r="E38" i="2"/>
  <c r="F38" i="2" s="1"/>
  <c r="E33" i="2" l="1"/>
  <c r="F33" i="2" s="1"/>
  <c r="E32" i="2"/>
  <c r="F32" i="2" s="1"/>
  <c r="E31" i="2"/>
  <c r="F31" i="2" s="1"/>
  <c r="E30" i="2"/>
  <c r="F30" i="2" s="1"/>
  <c r="E29" i="2"/>
  <c r="F29" i="2" s="1"/>
  <c r="E28" i="2"/>
  <c r="F28" i="2" s="1"/>
  <c r="E27" i="2"/>
  <c r="F27" i="2" s="1"/>
  <c r="E26" i="2"/>
  <c r="F26" i="2" s="1"/>
  <c r="E25" i="2"/>
  <c r="F25" i="2" s="1"/>
  <c r="E24" i="2"/>
  <c r="F24" i="2" s="1"/>
  <c r="E23" i="2"/>
  <c r="F23" i="2" s="1"/>
  <c r="E22" i="2"/>
  <c r="F22" i="2" s="1"/>
  <c r="E17" i="2"/>
  <c r="F17" i="2" s="1"/>
  <c r="E16" i="2"/>
  <c r="F16" i="2" s="1"/>
  <c r="E15" i="2"/>
  <c r="F15" i="2" s="1"/>
  <c r="E14" i="2"/>
  <c r="F14" i="2" s="1"/>
  <c r="E13" i="2"/>
  <c r="F13" i="2" s="1"/>
  <c r="E12" i="2"/>
  <c r="F12" i="2" s="1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E105" i="1" l="1"/>
  <c r="F105" i="1" s="1"/>
  <c r="E104" i="1"/>
  <c r="F104" i="1" s="1"/>
  <c r="E103" i="1"/>
  <c r="F103" i="1" s="1"/>
  <c r="E102" i="1"/>
  <c r="F102" i="1" s="1"/>
  <c r="E101" i="1"/>
  <c r="F101" i="1" s="1"/>
  <c r="E100" i="1"/>
  <c r="F100" i="1" s="1"/>
  <c r="E99" i="1"/>
  <c r="F99" i="1" s="1"/>
  <c r="E98" i="1"/>
  <c r="F98" i="1" s="1"/>
  <c r="E97" i="1"/>
  <c r="F97" i="1" s="1"/>
  <c r="E92" i="1"/>
  <c r="F92" i="1" s="1"/>
  <c r="E91" i="1"/>
  <c r="F91" i="1" s="1"/>
  <c r="E90" i="1"/>
  <c r="F90" i="1" s="1"/>
  <c r="E89" i="1"/>
  <c r="F89" i="1" s="1"/>
  <c r="E88" i="1"/>
  <c r="F88" i="1" s="1"/>
  <c r="E87" i="1"/>
  <c r="F87" i="1" s="1"/>
  <c r="E86" i="1"/>
  <c r="F86" i="1" s="1"/>
  <c r="E85" i="1"/>
  <c r="F85" i="1" s="1"/>
  <c r="E84" i="1"/>
  <c r="F84" i="1" s="1"/>
  <c r="E83" i="1"/>
  <c r="F83" i="1" s="1"/>
  <c r="E82" i="1"/>
  <c r="F82" i="1" s="1"/>
  <c r="E81" i="1"/>
  <c r="F81" i="1" s="1"/>
  <c r="E76" i="1"/>
  <c r="F76" i="1" s="1"/>
  <c r="E75" i="1"/>
  <c r="F75" i="1" s="1"/>
  <c r="E74" i="1"/>
  <c r="F74" i="1" s="1"/>
  <c r="E73" i="1"/>
  <c r="F73" i="1" s="1"/>
  <c r="E72" i="1"/>
  <c r="F72" i="1" s="1"/>
  <c r="E71" i="1"/>
  <c r="F71" i="1" s="1"/>
  <c r="E70" i="1"/>
  <c r="F70" i="1" s="1"/>
  <c r="E69" i="1"/>
  <c r="F69" i="1" s="1"/>
  <c r="E68" i="1"/>
  <c r="F68" i="1" s="1"/>
  <c r="E67" i="1"/>
  <c r="F67" i="1" s="1"/>
  <c r="E62" i="1"/>
  <c r="F62" i="1" s="1"/>
  <c r="E61" i="1"/>
  <c r="F61" i="1" s="1"/>
  <c r="E60" i="1"/>
  <c r="F60" i="1" s="1"/>
  <c r="E59" i="1"/>
  <c r="F59" i="1" s="1"/>
  <c r="E58" i="1"/>
  <c r="F58" i="1" s="1"/>
  <c r="E57" i="1"/>
  <c r="F57" i="1" s="1"/>
  <c r="E56" i="1"/>
  <c r="F56" i="1" s="1"/>
  <c r="E55" i="1"/>
  <c r="F55" i="1" s="1"/>
  <c r="E54" i="1"/>
  <c r="F54" i="1" s="1"/>
  <c r="E53" i="1"/>
  <c r="F53" i="1" s="1"/>
  <c r="E52" i="1"/>
  <c r="F52" i="1" s="1"/>
  <c r="E51" i="1"/>
  <c r="F51" i="1" s="1"/>
  <c r="E50" i="1"/>
  <c r="F50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E37" i="1"/>
  <c r="F37" i="1" s="1"/>
  <c r="E36" i="1"/>
  <c r="F36" i="1" s="1"/>
  <c r="E31" i="1" l="1"/>
  <c r="F31" i="1" s="1"/>
  <c r="E30" i="1"/>
  <c r="F30" i="1" s="1"/>
  <c r="E29" i="1"/>
  <c r="F29" i="1" s="1"/>
  <c r="E28" i="1"/>
  <c r="F28" i="1" s="1"/>
  <c r="E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F6" i="1"/>
  <c r="F5" i="1"/>
</calcChain>
</file>

<file path=xl/comments1.xml><?xml version="1.0" encoding="utf-8"?>
<comments xmlns="http://schemas.openxmlformats.org/spreadsheetml/2006/main">
  <authors>
    <author>Séverine</author>
  </authors>
  <commentList>
    <comment ref="B37" authorId="0" shapeId="0">
      <text>
        <r>
          <rPr>
            <b/>
            <sz val="9"/>
            <color indexed="81"/>
            <rFont val="Tahoma"/>
            <family val="2"/>
          </rPr>
          <t>Salaire net imposable à indiquer</t>
        </r>
      </text>
    </comment>
    <comment ref="C37" authorId="0" shapeId="0">
      <text>
        <r>
          <rPr>
            <b/>
            <sz val="9"/>
            <color indexed="81"/>
            <rFont val="Tahoma"/>
            <family val="2"/>
          </rPr>
          <t>Taux prélèvement à la source à indiquer</t>
        </r>
      </text>
    </comment>
  </commentList>
</comments>
</file>

<file path=xl/comments2.xml><?xml version="1.0" encoding="utf-8"?>
<comments xmlns="http://schemas.openxmlformats.org/spreadsheetml/2006/main">
  <authors>
    <author>Séverine</author>
  </authors>
  <commentList>
    <comment ref="B37" authorId="0" shapeId="0">
      <text>
        <r>
          <rPr>
            <b/>
            <sz val="9"/>
            <color indexed="81"/>
            <rFont val="Tahoma"/>
            <family val="2"/>
          </rPr>
          <t>Indiquer le salaire net imposable</t>
        </r>
      </text>
    </comment>
    <comment ref="C37" authorId="0" shapeId="0">
      <text>
        <r>
          <rPr>
            <b/>
            <sz val="9"/>
            <color indexed="81"/>
            <rFont val="Tahoma"/>
            <family val="2"/>
          </rPr>
          <t>Indiquer le taux Prélèvement à la source</t>
        </r>
      </text>
    </comment>
  </commentList>
</comments>
</file>

<file path=xl/sharedStrings.xml><?xml version="1.0" encoding="utf-8"?>
<sst xmlns="http://schemas.openxmlformats.org/spreadsheetml/2006/main" count="1088" uniqueCount="212">
  <si>
    <t>IB</t>
  </si>
  <si>
    <t>IM</t>
  </si>
  <si>
    <t>Durée</t>
  </si>
  <si>
    <t>1 an</t>
  </si>
  <si>
    <t>3 ans</t>
  </si>
  <si>
    <t>4 ans</t>
  </si>
  <si>
    <t>-</t>
  </si>
  <si>
    <t>Salaire Brut</t>
  </si>
  <si>
    <t>Valeur mensuelle du point</t>
  </si>
  <si>
    <t>Échelle de rémunération C1</t>
  </si>
  <si>
    <t>Adjoint administratif territorial</t>
  </si>
  <si>
    <t>Adjoint technique territorial</t>
  </si>
  <si>
    <t>Adjoint technique territorial des EE</t>
  </si>
  <si>
    <t>Adjoint territorial d'animation</t>
  </si>
  <si>
    <t>Adjoint territorial du patrimoine</t>
  </si>
  <si>
    <t>Agent social territorial</t>
  </si>
  <si>
    <t>Opérateur territorial des activités physiques et sportives</t>
  </si>
  <si>
    <t>Échelon C1</t>
  </si>
  <si>
    <t>2 ans</t>
  </si>
  <si>
    <t>Échelon C2</t>
  </si>
  <si>
    <t>Échelle de rémunération C2</t>
  </si>
  <si>
    <t>Adjoint administratif territorial principal de 2ème cl.</t>
  </si>
  <si>
    <t>Adjoint technique territorial principal de 2ème cl.</t>
  </si>
  <si>
    <t>Adjoint technique territorial principal de 2ème cl. des EE</t>
  </si>
  <si>
    <t>Adjoint territorial d'animation principal de 2ème cl.</t>
  </si>
  <si>
    <t>Adjoint territorial du patrimoine principal de 2ème cl.</t>
  </si>
  <si>
    <t>Agent social territorial principal de 2ème cl.</t>
  </si>
  <si>
    <t>Agent territorial spécialisé principal de 2ème cl. des écoles maternelles</t>
  </si>
  <si>
    <t>Auxiliaire de soins territorial principal de 2ème cl.</t>
  </si>
  <si>
    <t>Opérateur territorial des activités physiques et sportives qualifié</t>
  </si>
  <si>
    <t>Échelon C3</t>
  </si>
  <si>
    <t>Échelle de rémunération C3</t>
  </si>
  <si>
    <t>Adjoint administratif territorial principal de 1ère cl.</t>
  </si>
  <si>
    <t>Adjoint technique territorial principal de 1ère cl.</t>
  </si>
  <si>
    <t>Adjoint technique territorial principal de 1ère cl. des EE</t>
  </si>
  <si>
    <t>Adjoint territorial d'animation principal de 1ère cl.</t>
  </si>
  <si>
    <t>Adjoint territorial du patrimoine principal de 1ère cl.</t>
  </si>
  <si>
    <t>Agent social territorial principal de 1ère cl.</t>
  </si>
  <si>
    <t>Agent territorial spécialisé principal de 1ère cl. des écoles maternelles</t>
  </si>
  <si>
    <t>Auxiliaire de soins territorial principal de 1ère cl.</t>
  </si>
  <si>
    <t>Opérateur territorial des activités physiques et sportives principal</t>
  </si>
  <si>
    <t>Échelon agent de maîtrise</t>
  </si>
  <si>
    <t>Agent de maîtrise territorial</t>
  </si>
  <si>
    <t>Échelon Agent de maîtrise territorial principal</t>
  </si>
  <si>
    <t>Agent de maîtrise territorial principal</t>
  </si>
  <si>
    <t>Échelon Gardien-brigadier de police municipale</t>
  </si>
  <si>
    <t>Gardien-brigadier de police municipale</t>
  </si>
  <si>
    <t>applicables à la fonction publique territoriale</t>
  </si>
  <si>
    <t>2a 6m</t>
  </si>
  <si>
    <t>Échelon Brigadier-chef principal de police municipale</t>
  </si>
  <si>
    <t>Brigadier-chef principal de police municipale</t>
  </si>
  <si>
    <t>Catégorie C</t>
  </si>
  <si>
    <t>Catégorie B</t>
  </si>
  <si>
    <t>Échelon</t>
  </si>
  <si>
    <t>Brut</t>
  </si>
  <si>
    <t>Échelle de rémunération B1</t>
  </si>
  <si>
    <t>Animateur territorial</t>
  </si>
  <si>
    <t>Assistant territorial de conservation du patrimoine et des bibliothèques</t>
  </si>
  <si>
    <t>Assistant territorial d'enseignement artistique</t>
  </si>
  <si>
    <t>Chef de service de police municipale</t>
  </si>
  <si>
    <t>Éducateur territorial des activités physiques et sportives</t>
  </si>
  <si>
    <t>Moniteur-éducateur et intervenant familial territorial</t>
  </si>
  <si>
    <t>Rédacteur territorial</t>
  </si>
  <si>
    <t>Échelon B1</t>
  </si>
  <si>
    <t>Échelle de rémunération B2</t>
  </si>
  <si>
    <t>Animateur territorial principal de 2ème cl.</t>
  </si>
  <si>
    <t>Assistant territorial de conservation PB principal de 2ème cl.</t>
  </si>
  <si>
    <t>Assistant territorial d'enseignement artistique principal de 2ème cl.</t>
  </si>
  <si>
    <t>Chef de service de police municipale principal de 2ème cl.</t>
  </si>
  <si>
    <t>Éducateur territorial APS principal de 2ème cl.</t>
  </si>
  <si>
    <t>Moniteur-éducateur et intervenant familial territorial principal</t>
  </si>
  <si>
    <t>Rédacteur territorial principal de 2ème cl.</t>
  </si>
  <si>
    <t>Technicien territorial principal de 2ème cl.</t>
  </si>
  <si>
    <t>Échelon B2</t>
  </si>
  <si>
    <t>Échelle de rémunération B3</t>
  </si>
  <si>
    <t>Animateur territorial principal de 1ère cl.</t>
  </si>
  <si>
    <t>Assistant territorial de conservation PB principal de 1ère cl.</t>
  </si>
  <si>
    <t>Assistant territorial d'enseignement artistique principal de 1ère cl.</t>
  </si>
  <si>
    <t>Chef de service de police municipale principal de 1ère cl.</t>
  </si>
  <si>
    <t>Éducateur territorial APS principal de 1ère cl.</t>
  </si>
  <si>
    <t>Rédacteur territorial principal de 1ère cl.</t>
  </si>
  <si>
    <t>Technicien territorial principal de 1ère cl.</t>
  </si>
  <si>
    <t>1a 6m</t>
  </si>
  <si>
    <t>Aide-soignant territorial de cl. normale</t>
  </si>
  <si>
    <t>Auxiliaire de puériculture territorial de cl. normale</t>
  </si>
  <si>
    <t>Aide-soignant territorial de cl. supérieure</t>
  </si>
  <si>
    <t>Auxiliaire de puériculture territorial de cl. supérieure</t>
  </si>
  <si>
    <t>Catégorie A</t>
  </si>
  <si>
    <t>Attaché territorial</t>
  </si>
  <si>
    <t>Attaché territorial principal</t>
  </si>
  <si>
    <t>Éch. Spé.</t>
  </si>
  <si>
    <t>HEA</t>
  </si>
  <si>
    <t>Attaché territorial hors cl.</t>
  </si>
  <si>
    <t>Ingénieur territorial</t>
  </si>
  <si>
    <t>Ingénieur territorial principal</t>
  </si>
  <si>
    <t>Ingénieur territorial hors cl.</t>
  </si>
  <si>
    <t>Ingénieurs en chef territoriaux (fil. technique)</t>
  </si>
  <si>
    <t>Ingénieur en chef territorial</t>
  </si>
  <si>
    <t>HEB</t>
  </si>
  <si>
    <t>HEB Bis</t>
  </si>
  <si>
    <t>Ingénieur en chef territorial hors c</t>
  </si>
  <si>
    <t>HEC</t>
  </si>
  <si>
    <t>Cl. Ex.</t>
  </si>
  <si>
    <t>HED</t>
  </si>
  <si>
    <t>Ingénieur territorial général</t>
  </si>
  <si>
    <t>Attaché territorial de conservation du patrimoine</t>
  </si>
  <si>
    <t>Bibliothécaire territorial</t>
  </si>
  <si>
    <t>Attaché territorial principal de conservation du patrimoine</t>
  </si>
  <si>
    <t>Bibliothécaire territorial principal</t>
  </si>
  <si>
    <t>Conservateur territorial du patrimoine</t>
  </si>
  <si>
    <t>Conservateur territorial du patrimoine en chef</t>
  </si>
  <si>
    <t>Conservateur territorial de bibliothèque</t>
  </si>
  <si>
    <t>Conservateur territorial de bibliothèques en chef</t>
  </si>
  <si>
    <t>3a 6m</t>
  </si>
  <si>
    <t>Professeur territorial d'EA de cl. normale</t>
  </si>
  <si>
    <t>Professeur territorial d'EA hors cl.</t>
  </si>
  <si>
    <t>Directeur d'établissement territorial d'EA de 2ème cat.</t>
  </si>
  <si>
    <t>Directeur d'établissement territorial d'EA de 1ère cat.</t>
  </si>
  <si>
    <t>Conseiller territorial des APS</t>
  </si>
  <si>
    <t>Conseiller territorial principal des APS</t>
  </si>
  <si>
    <t>Directeur de police municipale</t>
  </si>
  <si>
    <t>Directeur principal de police municipale</t>
  </si>
  <si>
    <t>Assistant territorial socio-éducatif</t>
  </si>
  <si>
    <t>Éducateur territorial de jeunes enfants</t>
  </si>
  <si>
    <t>Assistant territorial socio-éducatif de cl. exceptionnelle</t>
  </si>
  <si>
    <t>Éducateur territorial de jeunes enfants de cl. exceptionnelle</t>
  </si>
  <si>
    <t>Conseiller territorial socio-éducatif</t>
  </si>
  <si>
    <t>Conseiller territorial supérieur socio-éducatif</t>
  </si>
  <si>
    <t>Conseiller territorial hors cl. socio-éducatif</t>
  </si>
  <si>
    <t>Médecin territorial de 2ème cl.</t>
  </si>
  <si>
    <t>Médecin territorial de 1ère cl.</t>
  </si>
  <si>
    <t>Médecin territorial hors cl.</t>
  </si>
  <si>
    <t>Infirmier territorial en soins généraux</t>
  </si>
  <si>
    <t>Infirmier territorial en soins généraux hors cl.</t>
  </si>
  <si>
    <t>Puéricultrice territoriale</t>
  </si>
  <si>
    <t>Puéricultrice territoriale hors cl.</t>
  </si>
  <si>
    <t>Psychologue territorial de cl. normale</t>
  </si>
  <si>
    <t>Psychologue territorial hors cl.</t>
  </si>
  <si>
    <t>Pédicure-podologue, ergothérapeute, psychomotricien,</t>
  </si>
  <si>
    <t>orthoptiste, technicien de laboratoire médical, manipulateur</t>
  </si>
  <si>
    <t>d'électroradiologie médicale, préparateurs en pharmacie</t>
  </si>
  <si>
    <t>hospitalière et diététiciens territorial</t>
  </si>
  <si>
    <t>hospitalière et diététiciens territorial hors cl.</t>
  </si>
  <si>
    <t>1a 9m</t>
  </si>
  <si>
    <t>2a 2m</t>
  </si>
  <si>
    <t>Biologiste, vétérinaire et pharmacien de cl. normale</t>
  </si>
  <si>
    <t>3a 3m</t>
  </si>
  <si>
    <t>Biologiste, vétérinaire et pharmacien hors cl.</t>
  </si>
  <si>
    <t>Biologiste, vétérinaire et pharmacien de cl. exceptionnelle</t>
  </si>
  <si>
    <t>GRILLES INDICIAIRES  du  01/01/2024</t>
  </si>
  <si>
    <t>Salaire
approximatif</t>
  </si>
  <si>
    <t>Les informations générées par cet outil sont données uniquement à titre indicatif.</t>
  </si>
  <si>
    <t>Valeur du point :</t>
  </si>
  <si>
    <t>points</t>
  </si>
  <si>
    <t>heures</t>
  </si>
  <si>
    <t>Nombre d'enfants</t>
  </si>
  <si>
    <t>Préciser le nombre d'heures par semaine, 
si temps complet indiquer 35</t>
  </si>
  <si>
    <t>BASE</t>
  </si>
  <si>
    <t>TAUX</t>
  </si>
  <si>
    <t>MONTANT charges salariales</t>
  </si>
  <si>
    <t>MONTANT charges patronales</t>
  </si>
  <si>
    <t>Rémunération indiciaire</t>
  </si>
  <si>
    <t>NBI</t>
  </si>
  <si>
    <t>Indemnité différentielle</t>
  </si>
  <si>
    <t>SFT</t>
  </si>
  <si>
    <t>Transfert prime-points</t>
  </si>
  <si>
    <t>Indemnité compensatrice CSG</t>
  </si>
  <si>
    <t>Prime</t>
  </si>
  <si>
    <t>Participation mutuelle</t>
  </si>
  <si>
    <t>Traitement brut</t>
  </si>
  <si>
    <t>CSG Déductible</t>
  </si>
  <si>
    <t>CSG Non Déd.</t>
  </si>
  <si>
    <t>CRDS</t>
  </si>
  <si>
    <t>URSSAF Maladie</t>
  </si>
  <si>
    <t>URSSAF Solidarité</t>
  </si>
  <si>
    <t>URSSAF Allocations Familiales</t>
  </si>
  <si>
    <t>URSAFF FNAL (1)</t>
  </si>
  <si>
    <t>CNRACL ATIACL</t>
  </si>
  <si>
    <t>URSSAF Transport (2)</t>
  </si>
  <si>
    <t>Retraite CNRACL</t>
  </si>
  <si>
    <t>Retraite RAFP</t>
  </si>
  <si>
    <t>CDG</t>
  </si>
  <si>
    <t>CNFPT</t>
  </si>
  <si>
    <t>CNFPT apprenti</t>
  </si>
  <si>
    <t>Prélèvement à la source</t>
  </si>
  <si>
    <t>Net à
 payer</t>
  </si>
  <si>
    <t>Total Charges Patronales</t>
  </si>
  <si>
    <t>Coût chargé collectivité</t>
  </si>
  <si>
    <t>Rémunération brute</t>
  </si>
  <si>
    <t>Charges patronales</t>
  </si>
  <si>
    <t>Coût total Collectivité</t>
  </si>
  <si>
    <t>*Champs à compléter</t>
  </si>
  <si>
    <t>*IB</t>
  </si>
  <si>
    <t>*IM</t>
  </si>
  <si>
    <t>*Nombre d'enfants</t>
  </si>
  <si>
    <t>*NBI :</t>
  </si>
  <si>
    <t>*Temps de travail</t>
  </si>
  <si>
    <t>Simulateur de Paie - Agent Titulaire</t>
  </si>
  <si>
    <t>Préciser le nombre d'heures par semaine, si temps complet, indiquer 35</t>
  </si>
  <si>
    <t>Temps travail :</t>
  </si>
  <si>
    <t>Congés payés (oui ou non) :</t>
  </si>
  <si>
    <t>Congés payés</t>
  </si>
  <si>
    <t>URSSAF Vieillesse Plafond</t>
  </si>
  <si>
    <t>URSSAF Vieillesse déplafonnée</t>
  </si>
  <si>
    <t>URSSAF AT (2)</t>
  </si>
  <si>
    <t>URSSAF Transport (3)</t>
  </si>
  <si>
    <t>Retraite Ircantec (Tr A)</t>
  </si>
  <si>
    <t>Retraite Ircantec (Tr B)</t>
  </si>
  <si>
    <t xml:space="preserve">Pôle Emploi </t>
  </si>
  <si>
    <t>Net à payer</t>
  </si>
  <si>
    <t xml:space="preserve">Simulateur de Paie - Agent Contractuel
</t>
  </si>
  <si>
    <r>
      <rPr>
        <b/>
        <u/>
        <sz val="12"/>
        <color rgb="FFFF0000"/>
        <rFont val="Arial"/>
        <family val="2"/>
      </rPr>
      <t>Attention</t>
    </r>
    <r>
      <rPr>
        <b/>
        <sz val="12"/>
        <color rgb="FFFF0000"/>
        <rFont val="Arial"/>
        <family val="2"/>
      </rPr>
      <t xml:space="preserve"> : Ceci est un simulateur, vous devez compléter certains champs afin de procéder à votre simulation.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</si>
</sst>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0.0000000000"/>
  </numFmts>
  <fonts count="2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9" tint="-0.249977111117893"/>
      <name val="Calibri"/>
      <family val="2"/>
      <scheme val="minor"/>
    </font>
    <font>
      <b/>
      <i/>
      <sz val="11"/>
      <color theme="9" tint="-0.249977111117893"/>
      <name val="Calibri"/>
      <family val="2"/>
      <scheme val="minor"/>
    </font>
    <font>
      <b/>
      <i/>
      <sz val="10"/>
      <color theme="9" tint="-0.249977111117893"/>
      <name val="Calibri"/>
      <family val="2"/>
      <scheme val="minor"/>
    </font>
    <font>
      <b/>
      <i/>
      <sz val="10"/>
      <color theme="9"/>
      <name val="Calibri"/>
      <family val="2"/>
      <scheme val="minor"/>
    </font>
    <font>
      <b/>
      <i/>
      <sz val="11"/>
      <color theme="9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0"/>
      <color theme="0"/>
      <name val="Arial"/>
      <family val="2"/>
    </font>
    <font>
      <sz val="7"/>
      <name val="Arial"/>
      <family val="2"/>
    </font>
    <font>
      <b/>
      <sz val="12"/>
      <color rgb="FFFF0000"/>
      <name val="Arial"/>
      <family val="2"/>
    </font>
    <font>
      <b/>
      <u/>
      <sz val="12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85EF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280">
    <xf numFmtId="0" fontId="0" fillId="0" borderId="0" xfId="0"/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 vertical="top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5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8" fontId="4" fillId="5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8" fontId="4" fillId="4" borderId="0" xfId="0" applyNumberFormat="1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vertical="center"/>
    </xf>
    <xf numFmtId="164" fontId="4" fillId="4" borderId="0" xfId="0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8" fontId="2" fillId="5" borderId="2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0" fillId="0" borderId="1" xfId="0" applyBorder="1" applyAlignment="1">
      <alignment horizontal="center"/>
    </xf>
    <xf numFmtId="0" fontId="2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8" fontId="2" fillId="5" borderId="1" xfId="0" applyNumberFormat="1" applyFont="1" applyFill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2" fillId="9" borderId="1" xfId="0" applyFont="1" applyFill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/>
    <xf numFmtId="0" fontId="2" fillId="0" borderId="0" xfId="0" applyFont="1" applyBorder="1" applyAlignment="1">
      <alignment horizontal="center" vertical="center"/>
    </xf>
    <xf numFmtId="0" fontId="0" fillId="4" borderId="0" xfId="0" applyFill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8" fontId="2" fillId="5" borderId="1" xfId="0" applyNumberFormat="1" applyFont="1" applyFill="1" applyBorder="1" applyAlignment="1">
      <alignment horizontal="center" vertical="center"/>
    </xf>
    <xf numFmtId="8" fontId="0" fillId="0" borderId="0" xfId="0" applyNumberFormat="1" applyBorder="1"/>
    <xf numFmtId="164" fontId="0" fillId="0" borderId="0" xfId="0" applyNumberFormat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4" borderId="0" xfId="0" applyFont="1" applyFill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8" fontId="7" fillId="0" borderId="0" xfId="0" applyNumberFormat="1" applyFont="1" applyBorder="1" applyAlignment="1">
      <alignment horizontal="center" vertical="center"/>
    </xf>
    <xf numFmtId="8" fontId="7" fillId="0" borderId="0" xfId="0" applyNumberFormat="1" applyFont="1" applyBorder="1"/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Border="1" applyAlignment="1"/>
    <xf numFmtId="44" fontId="2" fillId="2" borderId="0" xfId="0" applyNumberFormat="1" applyFont="1" applyFill="1" applyAlignment="1">
      <alignment vertical="center"/>
    </xf>
    <xf numFmtId="44" fontId="9" fillId="0" borderId="0" xfId="0" applyNumberFormat="1" applyFont="1" applyBorder="1" applyAlignment="1">
      <alignment horizontal="center" vertical="center" wrapText="1"/>
    </xf>
    <xf numFmtId="44" fontId="10" fillId="0" borderId="0" xfId="0" applyNumberFormat="1" applyFont="1" applyBorder="1"/>
    <xf numFmtId="44" fontId="0" fillId="0" borderId="0" xfId="0" applyNumberFormat="1" applyBorder="1"/>
    <xf numFmtId="44" fontId="10" fillId="0" borderId="0" xfId="0" applyNumberFormat="1" applyFont="1"/>
    <xf numFmtId="44" fontId="8" fillId="0" borderId="0" xfId="0" applyNumberFormat="1" applyFont="1" applyBorder="1" applyAlignment="1">
      <alignment horizontal="center" vertical="center" wrapText="1"/>
    </xf>
    <xf numFmtId="44" fontId="0" fillId="0" borderId="0" xfId="0" applyNumberFormat="1"/>
    <xf numFmtId="0" fontId="8" fillId="0" borderId="0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1" fillId="10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/>
    </xf>
    <xf numFmtId="0" fontId="0" fillId="0" borderId="0" xfId="0" applyProtection="1">
      <protection locked="0"/>
    </xf>
    <xf numFmtId="0" fontId="12" fillId="0" borderId="0" xfId="0" applyFont="1" applyBorder="1" applyProtection="1">
      <protection locked="0"/>
    </xf>
    <xf numFmtId="0" fontId="12" fillId="2" borderId="1" xfId="0" applyFont="1" applyFill="1" applyBorder="1" applyAlignment="1" applyProtection="1">
      <alignment horizontal="center"/>
      <protection locked="0"/>
    </xf>
    <xf numFmtId="2" fontId="1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1" xfId="0" applyFont="1" applyFill="1" applyBorder="1" applyAlignment="1" applyProtection="1">
      <alignment horizontal="center"/>
      <protection locked="0"/>
    </xf>
    <xf numFmtId="1" fontId="1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2" fillId="2" borderId="1" xfId="0" applyNumberFormat="1" applyFont="1" applyFill="1" applyBorder="1" applyAlignment="1" applyProtection="1">
      <alignment horizontal="center"/>
      <protection locked="0"/>
    </xf>
    <xf numFmtId="2" fontId="12" fillId="0" borderId="8" xfId="0" applyNumberFormat="1" applyFont="1" applyBorder="1" applyAlignment="1" applyProtection="1">
      <alignment horizontal="center" vertical="center"/>
      <protection locked="0"/>
    </xf>
    <xf numFmtId="4" fontId="12" fillId="2" borderId="18" xfId="0" applyNumberFormat="1" applyFont="1" applyFill="1" applyBorder="1" applyAlignment="1" applyProtection="1">
      <alignment vertical="center"/>
      <protection locked="0"/>
    </xf>
    <xf numFmtId="4" fontId="12" fillId="2" borderId="18" xfId="0" applyNumberFormat="1" applyFont="1" applyFill="1" applyBorder="1" applyProtection="1">
      <protection locked="0"/>
    </xf>
    <xf numFmtId="0" fontId="12" fillId="2" borderId="0" xfId="0" applyFont="1" applyFill="1" applyAlignment="1" applyProtection="1">
      <alignment horizontal="center"/>
    </xf>
    <xf numFmtId="2" fontId="12" fillId="0" borderId="0" xfId="0" applyNumberFormat="1" applyFont="1" applyBorder="1" applyProtection="1"/>
    <xf numFmtId="0" fontId="12" fillId="0" borderId="0" xfId="0" applyFont="1" applyBorder="1" applyProtection="1"/>
    <xf numFmtId="0" fontId="12" fillId="0" borderId="6" xfId="0" applyFont="1" applyBorder="1" applyAlignment="1" applyProtection="1">
      <alignment horizontal="right"/>
    </xf>
    <xf numFmtId="0" fontId="12" fillId="0" borderId="6" xfId="0" applyFont="1" applyBorder="1" applyProtection="1"/>
    <xf numFmtId="2" fontId="12" fillId="0" borderId="0" xfId="0" applyNumberFormat="1" applyFont="1" applyFill="1" applyBorder="1" applyAlignment="1" applyProtection="1">
      <alignment horizontal="center" vertical="center" wrapText="1"/>
    </xf>
    <xf numFmtId="2" fontId="12" fillId="0" borderId="0" xfId="0" applyNumberFormat="1" applyFont="1" applyFill="1" applyBorder="1" applyAlignment="1" applyProtection="1">
      <alignment vertical="center" wrapText="1"/>
    </xf>
    <xf numFmtId="2" fontId="12" fillId="0" borderId="0" xfId="0" applyNumberFormat="1" applyFont="1" applyBorder="1" applyAlignment="1" applyProtection="1">
      <alignment vertical="center" wrapText="1"/>
    </xf>
    <xf numFmtId="2" fontId="16" fillId="0" borderId="0" xfId="0" applyNumberFormat="1" applyFont="1" applyBorder="1" applyAlignment="1" applyProtection="1">
      <alignment vertical="center" wrapText="1"/>
    </xf>
    <xf numFmtId="2" fontId="12" fillId="0" borderId="8" xfId="0" applyNumberFormat="1" applyFont="1" applyBorder="1" applyAlignment="1" applyProtection="1">
      <alignment horizontal="center" vertical="center"/>
    </xf>
    <xf numFmtId="0" fontId="12" fillId="0" borderId="9" xfId="0" applyFont="1" applyBorder="1" applyAlignment="1" applyProtection="1">
      <alignment horizontal="center" vertical="center"/>
    </xf>
    <xf numFmtId="2" fontId="12" fillId="0" borderId="9" xfId="0" applyNumberFormat="1" applyFont="1" applyBorder="1" applyAlignment="1" applyProtection="1">
      <alignment horizontal="center" vertical="center" wrapText="1"/>
    </xf>
    <xf numFmtId="10" fontId="12" fillId="0" borderId="9" xfId="0" applyNumberFormat="1" applyFont="1" applyBorder="1" applyAlignment="1" applyProtection="1">
      <alignment horizontal="center" vertical="center"/>
    </xf>
    <xf numFmtId="2" fontId="12" fillId="0" borderId="22" xfId="0" applyNumberFormat="1" applyFont="1" applyBorder="1" applyAlignment="1" applyProtection="1">
      <alignment horizontal="center" vertical="center" wrapText="1"/>
    </xf>
    <xf numFmtId="0" fontId="12" fillId="0" borderId="2" xfId="0" applyFont="1" applyBorder="1" applyProtection="1"/>
    <xf numFmtId="4" fontId="12" fillId="0" borderId="11" xfId="0" applyNumberFormat="1" applyFont="1" applyFill="1" applyBorder="1" applyProtection="1"/>
    <xf numFmtId="2" fontId="12" fillId="0" borderId="12" xfId="0" applyNumberFormat="1" applyFont="1" applyFill="1" applyBorder="1" applyProtection="1"/>
    <xf numFmtId="4" fontId="12" fillId="0" borderId="52" xfId="0" applyNumberFormat="1" applyFont="1" applyFill="1" applyBorder="1" applyProtection="1"/>
    <xf numFmtId="10" fontId="12" fillId="0" borderId="12" xfId="0" applyNumberFormat="1" applyFont="1" applyFill="1" applyBorder="1" applyProtection="1"/>
    <xf numFmtId="2" fontId="12" fillId="0" borderId="10" xfId="0" applyNumberFormat="1" applyFont="1" applyFill="1" applyBorder="1" applyProtection="1"/>
    <xf numFmtId="0" fontId="12" fillId="0" borderId="29" xfId="0" applyFont="1" applyBorder="1" applyAlignment="1" applyProtection="1">
      <alignment vertical="center" wrapText="1"/>
    </xf>
    <xf numFmtId="4" fontId="12" fillId="0" borderId="18" xfId="0" applyNumberFormat="1" applyFont="1" applyFill="1" applyBorder="1" applyAlignment="1" applyProtection="1">
      <alignment vertical="center" wrapText="1"/>
    </xf>
    <xf numFmtId="2" fontId="12" fillId="0" borderId="15" xfId="0" applyNumberFormat="1" applyFont="1" applyFill="1" applyBorder="1" applyAlignment="1" applyProtection="1">
      <alignment vertical="center" wrapText="1"/>
    </xf>
    <xf numFmtId="4" fontId="12" fillId="0" borderId="1" xfId="0" applyNumberFormat="1" applyFont="1" applyFill="1" applyBorder="1" applyAlignment="1" applyProtection="1">
      <alignment vertical="center" wrapText="1"/>
    </xf>
    <xf numFmtId="10" fontId="12" fillId="0" borderId="15" xfId="0" applyNumberFormat="1" applyFont="1" applyFill="1" applyBorder="1" applyAlignment="1" applyProtection="1">
      <alignment vertical="center" wrapText="1"/>
    </xf>
    <xf numFmtId="2" fontId="12" fillId="0" borderId="13" xfId="0" applyNumberFormat="1" applyFont="1" applyFill="1" applyBorder="1" applyAlignment="1" applyProtection="1">
      <alignment vertical="center" wrapText="1"/>
    </xf>
    <xf numFmtId="0" fontId="12" fillId="0" borderId="29" xfId="0" applyFont="1" applyBorder="1" applyProtection="1"/>
    <xf numFmtId="4" fontId="12" fillId="0" borderId="14" xfId="0" applyNumberFormat="1" applyFont="1" applyFill="1" applyBorder="1" applyProtection="1"/>
    <xf numFmtId="2" fontId="12" fillId="0" borderId="15" xfId="0" applyNumberFormat="1" applyFont="1" applyFill="1" applyBorder="1" applyProtection="1"/>
    <xf numFmtId="4" fontId="12" fillId="0" borderId="15" xfId="0" applyNumberFormat="1" applyFont="1" applyFill="1" applyBorder="1" applyProtection="1"/>
    <xf numFmtId="10" fontId="12" fillId="0" borderId="15" xfId="0" applyNumberFormat="1" applyFont="1" applyFill="1" applyBorder="1" applyProtection="1"/>
    <xf numFmtId="2" fontId="12" fillId="0" borderId="13" xfId="0" applyNumberFormat="1" applyFont="1" applyFill="1" applyBorder="1" applyProtection="1"/>
    <xf numFmtId="4" fontId="12" fillId="4" borderId="14" xfId="0" applyNumberFormat="1" applyFont="1" applyFill="1" applyBorder="1" applyProtection="1"/>
    <xf numFmtId="0" fontId="12" fillId="0" borderId="1" xfId="0" applyFont="1" applyFill="1" applyBorder="1" applyAlignment="1" applyProtection="1">
      <alignment vertical="center"/>
    </xf>
    <xf numFmtId="4" fontId="12" fillId="0" borderId="1" xfId="0" applyNumberFormat="1" applyFont="1" applyFill="1" applyBorder="1" applyAlignment="1" applyProtection="1">
      <alignment vertical="center"/>
    </xf>
    <xf numFmtId="0" fontId="12" fillId="0" borderId="1" xfId="0" applyFont="1" applyFill="1" applyBorder="1" applyProtection="1"/>
    <xf numFmtId="4" fontId="12" fillId="0" borderId="1" xfId="0" applyNumberFormat="1" applyFont="1" applyFill="1" applyBorder="1" applyProtection="1"/>
    <xf numFmtId="0" fontId="17" fillId="0" borderId="1" xfId="0" applyFont="1" applyFill="1" applyBorder="1" applyProtection="1"/>
    <xf numFmtId="4" fontId="17" fillId="0" borderId="1" xfId="0" applyNumberFormat="1" applyFont="1" applyFill="1" applyBorder="1" applyProtection="1"/>
    <xf numFmtId="10" fontId="12" fillId="0" borderId="1" xfId="0" applyNumberFormat="1" applyFont="1" applyFill="1" applyBorder="1" applyProtection="1"/>
    <xf numFmtId="10" fontId="12" fillId="0" borderId="21" xfId="0" applyNumberFormat="1" applyFont="1" applyFill="1" applyBorder="1" applyProtection="1"/>
    <xf numFmtId="4" fontId="12" fillId="0" borderId="21" xfId="0" applyNumberFormat="1" applyFont="1" applyFill="1" applyBorder="1" applyProtection="1"/>
    <xf numFmtId="0" fontId="12" fillId="0" borderId="17" xfId="0" applyFont="1" applyBorder="1" applyAlignment="1" applyProtection="1">
      <alignment vertical="center" wrapText="1"/>
    </xf>
    <xf numFmtId="0" fontId="17" fillId="0" borderId="2" xfId="0" applyFont="1" applyBorder="1" applyProtection="1"/>
    <xf numFmtId="0" fontId="12" fillId="0" borderId="3" xfId="0" applyFont="1" applyBorder="1" applyProtection="1"/>
    <xf numFmtId="0" fontId="12" fillId="0" borderId="53" xfId="0" applyFont="1" applyBorder="1" applyAlignment="1" applyProtection="1">
      <alignment vertical="center"/>
    </xf>
    <xf numFmtId="2" fontId="12" fillId="0" borderId="17" xfId="0" applyNumberFormat="1" applyFont="1" applyFill="1" applyBorder="1" applyProtection="1"/>
    <xf numFmtId="10" fontId="12" fillId="4" borderId="1" xfId="0" applyNumberFormat="1" applyFont="1" applyFill="1" applyBorder="1" applyProtection="1"/>
    <xf numFmtId="4" fontId="12" fillId="0" borderId="17" xfId="0" applyNumberFormat="1" applyFont="1" applyFill="1" applyBorder="1" applyProtection="1"/>
    <xf numFmtId="10" fontId="17" fillId="5" borderId="1" xfId="0" applyNumberFormat="1" applyFont="1" applyFill="1" applyBorder="1" applyProtection="1"/>
    <xf numFmtId="10" fontId="12" fillId="4" borderId="21" xfId="0" applyNumberFormat="1" applyFont="1" applyFill="1" applyBorder="1" applyProtection="1"/>
    <xf numFmtId="4" fontId="12" fillId="0" borderId="19" xfId="0" applyNumberFormat="1" applyFont="1" applyFill="1" applyBorder="1" applyProtection="1"/>
    <xf numFmtId="10" fontId="12" fillId="4" borderId="54" xfId="0" applyNumberFormat="1" applyFont="1" applyFill="1" applyBorder="1" applyAlignment="1" applyProtection="1">
      <alignment vertical="center"/>
    </xf>
    <xf numFmtId="4" fontId="12" fillId="0" borderId="55" xfId="0" applyNumberFormat="1" applyFont="1" applyFill="1" applyBorder="1" applyAlignment="1" applyProtection="1">
      <alignment vertical="center"/>
    </xf>
    <xf numFmtId="4" fontId="12" fillId="0" borderId="54" xfId="0" applyNumberFormat="1" applyFont="1" applyFill="1" applyBorder="1" applyAlignment="1" applyProtection="1">
      <alignment vertical="center"/>
    </xf>
    <xf numFmtId="0" fontId="12" fillId="0" borderId="0" xfId="0" applyFont="1" applyBorder="1" applyAlignment="1" applyProtection="1">
      <alignment horizontal="center" vertical="center"/>
    </xf>
    <xf numFmtId="2" fontId="12" fillId="0" borderId="0" xfId="0" applyNumberFormat="1" applyFont="1" applyBorder="1" applyAlignment="1" applyProtection="1">
      <alignment horizontal="center" vertical="center"/>
    </xf>
    <xf numFmtId="10" fontId="12" fillId="0" borderId="0" xfId="0" applyNumberFormat="1" applyFont="1" applyBorder="1" applyAlignment="1" applyProtection="1">
      <alignment vertical="center" wrapText="1"/>
    </xf>
    <xf numFmtId="2" fontId="12" fillId="0" borderId="7" xfId="0" applyNumberFormat="1" applyFont="1" applyBorder="1" applyAlignment="1" applyProtection="1">
      <alignment horizontal="center" vertical="center"/>
    </xf>
    <xf numFmtId="2" fontId="12" fillId="0" borderId="1" xfId="0" applyNumberFormat="1" applyFont="1" applyBorder="1" applyAlignment="1" applyProtection="1">
      <alignment horizontal="center" vertical="center" wrapText="1"/>
    </xf>
    <xf numFmtId="10" fontId="12" fillId="0" borderId="1" xfId="0" applyNumberFormat="1" applyFont="1" applyBorder="1" applyAlignment="1" applyProtection="1">
      <alignment horizontal="center" vertical="center" wrapText="1"/>
    </xf>
    <xf numFmtId="0" fontId="17" fillId="0" borderId="7" xfId="0" applyFont="1" applyBorder="1" applyAlignment="1" applyProtection="1">
      <alignment horizontal="center" vertical="center"/>
    </xf>
    <xf numFmtId="44" fontId="15" fillId="0" borderId="56" xfId="1" applyFont="1" applyBorder="1" applyAlignment="1" applyProtection="1">
      <alignment horizontal="center" vertical="center"/>
    </xf>
    <xf numFmtId="44" fontId="15" fillId="0" borderId="1" xfId="1" applyFont="1" applyBorder="1" applyAlignment="1" applyProtection="1">
      <alignment horizontal="center" vertical="center"/>
    </xf>
    <xf numFmtId="1" fontId="12" fillId="0" borderId="0" xfId="0" applyNumberFormat="1" applyFont="1" applyBorder="1" applyAlignment="1" applyProtection="1">
      <alignment horizontal="center"/>
    </xf>
    <xf numFmtId="1" fontId="12" fillId="0" borderId="0" xfId="0" applyNumberFormat="1" applyFont="1" applyBorder="1" applyProtection="1"/>
    <xf numFmtId="2" fontId="12" fillId="0" borderId="0" xfId="0" applyNumberFormat="1" applyFont="1" applyFill="1" applyBorder="1" applyProtection="1"/>
    <xf numFmtId="0" fontId="12" fillId="0" borderId="0" xfId="0" applyFont="1" applyFill="1" applyBorder="1" applyProtection="1"/>
    <xf numFmtId="10" fontId="12" fillId="0" borderId="0" xfId="0" applyNumberFormat="1" applyFont="1" applyFill="1" applyBorder="1" applyProtection="1"/>
    <xf numFmtId="2" fontId="12" fillId="0" borderId="7" xfId="0" applyNumberFormat="1" applyFont="1" applyFill="1" applyBorder="1" applyProtection="1"/>
    <xf numFmtId="10" fontId="12" fillId="0" borderId="0" xfId="0" applyNumberFormat="1" applyFont="1" applyBorder="1" applyProtection="1"/>
    <xf numFmtId="2" fontId="12" fillId="0" borderId="7" xfId="0" applyNumberFormat="1" applyFont="1" applyBorder="1" applyProtection="1"/>
    <xf numFmtId="0" fontId="15" fillId="0" borderId="0" xfId="0" applyFont="1" applyBorder="1" applyAlignment="1" applyProtection="1">
      <alignment horizontal="center" vertical="center" wrapText="1"/>
    </xf>
    <xf numFmtId="2" fontId="17" fillId="0" borderId="0" xfId="0" applyNumberFormat="1" applyFont="1" applyBorder="1" applyAlignment="1" applyProtection="1">
      <alignment horizontal="center" vertical="center"/>
    </xf>
    <xf numFmtId="4" fontId="17" fillId="0" borderId="18" xfId="0" applyNumberFormat="1" applyFont="1" applyFill="1" applyBorder="1" applyProtection="1"/>
    <xf numFmtId="4" fontId="12" fillId="0" borderId="18" xfId="0" applyNumberFormat="1" applyFont="1" applyFill="1" applyBorder="1" applyProtection="1"/>
    <xf numFmtId="4" fontId="12" fillId="0" borderId="20" xfId="0" applyNumberFormat="1" applyFont="1" applyFill="1" applyBorder="1" applyProtection="1"/>
    <xf numFmtId="0" fontId="12" fillId="2" borderId="1" xfId="0" applyFont="1" applyFill="1" applyBorder="1" applyAlignment="1" applyProtection="1">
      <alignment horizontal="center" vertical="center"/>
      <protection locked="0"/>
    </xf>
    <xf numFmtId="4" fontId="12" fillId="2" borderId="14" xfId="0" applyNumberFormat="1" applyFont="1" applyFill="1" applyBorder="1" applyProtection="1">
      <protection locked="0"/>
    </xf>
    <xf numFmtId="0" fontId="18" fillId="0" borderId="0" xfId="0" applyFont="1" applyProtection="1">
      <protection locked="0"/>
    </xf>
    <xf numFmtId="0" fontId="19" fillId="10" borderId="6" xfId="0" applyFont="1" applyFill="1" applyBorder="1" applyAlignment="1" applyProtection="1">
      <alignment horizontal="left"/>
    </xf>
    <xf numFmtId="165" fontId="19" fillId="10" borderId="6" xfId="0" applyNumberFormat="1" applyFont="1" applyFill="1" applyBorder="1" applyAlignment="1" applyProtection="1">
      <alignment horizontal="left"/>
    </xf>
    <xf numFmtId="0" fontId="12" fillId="2" borderId="30" xfId="0" applyFont="1" applyFill="1" applyBorder="1" applyProtection="1"/>
    <xf numFmtId="2" fontId="12" fillId="0" borderId="35" xfId="0" applyNumberFormat="1" applyFont="1" applyBorder="1" applyProtection="1"/>
    <xf numFmtId="0" fontId="12" fillId="0" borderId="34" xfId="0" applyFont="1" applyFill="1" applyBorder="1" applyProtection="1"/>
    <xf numFmtId="0" fontId="19" fillId="10" borderId="34" xfId="0" applyFont="1" applyFill="1" applyBorder="1" applyAlignment="1" applyProtection="1">
      <alignment horizontal="left"/>
    </xf>
    <xf numFmtId="165" fontId="19" fillId="10" borderId="34" xfId="0" applyNumberFormat="1" applyFont="1" applyFill="1" applyBorder="1" applyAlignment="1" applyProtection="1">
      <alignment horizontal="left"/>
    </xf>
    <xf numFmtId="165" fontId="12" fillId="0" borderId="34" xfId="0" applyNumberFormat="1" applyFont="1" applyFill="1" applyBorder="1" applyAlignment="1" applyProtection="1">
      <alignment horizontal="left"/>
    </xf>
    <xf numFmtId="0" fontId="12" fillId="0" borderId="34" xfId="0" applyFont="1" applyBorder="1" applyAlignment="1" applyProtection="1">
      <alignment horizontal="right"/>
    </xf>
    <xf numFmtId="0" fontId="12" fillId="0" borderId="34" xfId="0" applyFont="1" applyBorder="1" applyAlignment="1" applyProtection="1">
      <alignment horizontal="center" vertical="center"/>
    </xf>
    <xf numFmtId="0" fontId="12" fillId="0" borderId="37" xfId="0" applyFont="1" applyBorder="1" applyProtection="1"/>
    <xf numFmtId="0" fontId="12" fillId="0" borderId="39" xfId="0" applyFont="1" applyBorder="1" applyProtection="1"/>
    <xf numFmtId="0" fontId="12" fillId="0" borderId="39" xfId="0" applyFont="1" applyBorder="1" applyAlignment="1" applyProtection="1">
      <alignment vertical="center" wrapText="1"/>
    </xf>
    <xf numFmtId="0" fontId="12" fillId="0" borderId="41" xfId="0" applyFont="1" applyBorder="1" applyAlignment="1" applyProtection="1">
      <alignment vertical="center" wrapText="1"/>
    </xf>
    <xf numFmtId="0" fontId="12" fillId="0" borderId="41" xfId="0" applyFont="1" applyBorder="1" applyProtection="1"/>
    <xf numFmtId="0" fontId="17" fillId="0" borderId="41" xfId="0" applyFont="1" applyBorder="1" applyProtection="1"/>
    <xf numFmtId="0" fontId="12" fillId="0" borderId="43" xfId="0" applyFont="1" applyBorder="1" applyProtection="1"/>
    <xf numFmtId="0" fontId="12" fillId="0" borderId="45" xfId="0" applyFont="1" applyBorder="1" applyProtection="1"/>
    <xf numFmtId="0" fontId="12" fillId="0" borderId="34" xfId="0" applyFont="1" applyBorder="1" applyProtection="1"/>
    <xf numFmtId="0" fontId="12" fillId="0" borderId="34" xfId="0" applyFont="1" applyBorder="1" applyAlignment="1" applyProtection="1">
      <alignment horizontal="center" wrapText="1"/>
    </xf>
    <xf numFmtId="0" fontId="15" fillId="0" borderId="34" xfId="0" applyFont="1" applyBorder="1" applyAlignment="1" applyProtection="1">
      <alignment horizontal="center" vertical="center" wrapText="1"/>
    </xf>
    <xf numFmtId="0" fontId="18" fillId="0" borderId="34" xfId="0" applyFont="1" applyBorder="1" applyProtection="1"/>
    <xf numFmtId="0" fontId="18" fillId="0" borderId="48" xfId="0" applyFont="1" applyBorder="1" applyProtection="1"/>
    <xf numFmtId="1" fontId="12" fillId="0" borderId="0" xfId="0" applyNumberFormat="1" applyFont="1" applyBorder="1" applyAlignment="1" applyProtection="1">
      <alignment horizontal="right"/>
    </xf>
    <xf numFmtId="1" fontId="16" fillId="0" borderId="0" xfId="0" applyNumberFormat="1" applyFont="1" applyFill="1" applyBorder="1" applyAlignment="1" applyProtection="1">
      <alignment horizontal="right" wrapText="1"/>
    </xf>
    <xf numFmtId="2" fontId="12" fillId="0" borderId="0" xfId="0" applyNumberFormat="1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/>
    </xf>
    <xf numFmtId="2" fontId="12" fillId="0" borderId="35" xfId="0" applyNumberFormat="1" applyFont="1" applyBorder="1" applyAlignment="1" applyProtection="1">
      <alignment horizontal="left" vertical="center" wrapText="1"/>
    </xf>
    <xf numFmtId="2" fontId="12" fillId="0" borderId="36" xfId="0" applyNumberFormat="1" applyFont="1" applyBorder="1" applyAlignment="1" applyProtection="1">
      <alignment horizontal="center" vertical="center" wrapText="1"/>
    </xf>
    <xf numFmtId="4" fontId="12" fillId="0" borderId="12" xfId="0" applyNumberFormat="1" applyFont="1" applyBorder="1" applyProtection="1"/>
    <xf numFmtId="10" fontId="12" fillId="0" borderId="12" xfId="0" applyNumberFormat="1" applyFont="1" applyBorder="1" applyProtection="1"/>
    <xf numFmtId="4" fontId="12" fillId="0" borderId="38" xfId="0" applyNumberFormat="1" applyFont="1" applyBorder="1" applyProtection="1"/>
    <xf numFmtId="4" fontId="12" fillId="0" borderId="16" xfId="0" applyNumberFormat="1" applyFont="1" applyBorder="1" applyProtection="1"/>
    <xf numFmtId="10" fontId="12" fillId="0" borderId="15" xfId="0" applyNumberFormat="1" applyFont="1" applyBorder="1" applyProtection="1"/>
    <xf numFmtId="4" fontId="12" fillId="0" borderId="40" xfId="0" applyNumberFormat="1" applyFont="1" applyBorder="1" applyProtection="1"/>
    <xf numFmtId="4" fontId="12" fillId="0" borderId="1" xfId="0" applyNumberFormat="1" applyFont="1" applyBorder="1" applyAlignment="1" applyProtection="1">
      <alignment vertical="center"/>
    </xf>
    <xf numFmtId="10" fontId="12" fillId="0" borderId="15" xfId="0" applyNumberFormat="1" applyFont="1" applyBorder="1" applyAlignment="1" applyProtection="1">
      <alignment vertical="center" wrapText="1"/>
    </xf>
    <xf numFmtId="4" fontId="12" fillId="0" borderId="40" xfId="0" applyNumberFormat="1" applyFont="1" applyBorder="1" applyAlignment="1" applyProtection="1">
      <alignment vertical="center" wrapText="1"/>
    </xf>
    <xf numFmtId="4" fontId="12" fillId="0" borderId="15" xfId="0" applyNumberFormat="1" applyFont="1" applyBorder="1" applyProtection="1"/>
    <xf numFmtId="10" fontId="12" fillId="0" borderId="1" xfId="0" applyNumberFormat="1" applyFont="1" applyBorder="1" applyProtection="1"/>
    <xf numFmtId="4" fontId="12" fillId="0" borderId="42" xfId="0" applyNumberFormat="1" applyFont="1" applyBorder="1" applyProtection="1"/>
    <xf numFmtId="4" fontId="12" fillId="0" borderId="1" xfId="0" applyNumberFormat="1" applyFont="1" applyBorder="1" applyProtection="1"/>
    <xf numFmtId="4" fontId="12" fillId="0" borderId="42" xfId="0" applyNumberFormat="1" applyFont="1" applyFill="1" applyBorder="1" applyProtection="1"/>
    <xf numFmtId="10" fontId="17" fillId="0" borderId="1" xfId="0" applyNumberFormat="1" applyFont="1" applyFill="1" applyBorder="1" applyProtection="1"/>
    <xf numFmtId="10" fontId="17" fillId="0" borderId="21" xfId="0" applyNumberFormat="1" applyFont="1" applyFill="1" applyBorder="1" applyProtection="1"/>
    <xf numFmtId="4" fontId="12" fillId="0" borderId="44" xfId="0" applyNumberFormat="1" applyFont="1" applyFill="1" applyBorder="1" applyProtection="1"/>
    <xf numFmtId="4" fontId="12" fillId="2" borderId="14" xfId="0" applyNumberFormat="1" applyFont="1" applyFill="1" applyBorder="1" applyAlignment="1" applyProtection="1">
      <alignment vertical="center"/>
    </xf>
    <xf numFmtId="10" fontId="17" fillId="0" borderId="22" xfId="0" applyNumberFormat="1" applyFont="1" applyFill="1" applyBorder="1" applyProtection="1"/>
    <xf numFmtId="4" fontId="12" fillId="0" borderId="46" xfId="0" applyNumberFormat="1" applyFont="1" applyFill="1" applyBorder="1" applyProtection="1"/>
    <xf numFmtId="2" fontId="12" fillId="0" borderId="15" xfId="0" applyNumberFormat="1" applyFont="1" applyBorder="1" applyProtection="1"/>
    <xf numFmtId="2" fontId="12" fillId="0" borderId="15" xfId="0" applyNumberFormat="1" applyFont="1" applyBorder="1" applyAlignment="1" applyProtection="1">
      <alignment vertical="center" wrapText="1"/>
    </xf>
    <xf numFmtId="0" fontId="12" fillId="0" borderId="1" xfId="0" applyFont="1" applyBorder="1" applyAlignment="1" applyProtection="1">
      <alignment vertical="center"/>
    </xf>
    <xf numFmtId="0" fontId="12" fillId="0" borderId="1" xfId="0" applyFont="1" applyBorder="1" applyProtection="1"/>
    <xf numFmtId="4" fontId="12" fillId="0" borderId="11" xfId="0" applyNumberFormat="1" applyFont="1" applyBorder="1" applyProtection="1"/>
    <xf numFmtId="4" fontId="12" fillId="0" borderId="14" xfId="0" applyNumberFormat="1" applyFont="1" applyBorder="1" applyProtection="1"/>
    <xf numFmtId="4" fontId="12" fillId="0" borderId="14" xfId="0" applyNumberFormat="1" applyFont="1" applyBorder="1" applyAlignment="1" applyProtection="1">
      <alignment vertical="center" wrapText="1"/>
    </xf>
    <xf numFmtId="2" fontId="12" fillId="4" borderId="14" xfId="0" applyNumberFormat="1" applyFont="1" applyFill="1" applyBorder="1" applyProtection="1"/>
    <xf numFmtId="4" fontId="17" fillId="0" borderId="18" xfId="0" applyNumberFormat="1" applyFont="1" applyBorder="1" applyProtection="1"/>
    <xf numFmtId="4" fontId="12" fillId="0" borderId="35" xfId="0" applyNumberFormat="1" applyFont="1" applyBorder="1" applyProtection="1"/>
    <xf numFmtId="2" fontId="12" fillId="0" borderId="35" xfId="0" applyNumberFormat="1" applyFont="1" applyBorder="1" applyAlignment="1" applyProtection="1">
      <alignment horizontal="center" vertical="center"/>
    </xf>
    <xf numFmtId="2" fontId="12" fillId="0" borderId="0" xfId="0" applyNumberFormat="1" applyFont="1" applyBorder="1" applyAlignment="1" applyProtection="1">
      <alignment horizontal="center" wrapText="1"/>
    </xf>
    <xf numFmtId="0" fontId="12" fillId="0" borderId="0" xfId="0" applyFont="1" applyBorder="1" applyAlignment="1" applyProtection="1">
      <alignment horizontal="center" vertical="center" wrapText="1"/>
    </xf>
    <xf numFmtId="2" fontId="12" fillId="0" borderId="42" xfId="0" applyNumberFormat="1" applyFont="1" applyBorder="1" applyAlignment="1" applyProtection="1">
      <alignment horizontal="center" vertical="center" wrapText="1"/>
    </xf>
    <xf numFmtId="0" fontId="17" fillId="0" borderId="0" xfId="0" applyFont="1" applyBorder="1" applyAlignment="1" applyProtection="1">
      <alignment horizontal="center" vertical="center"/>
    </xf>
    <xf numFmtId="44" fontId="15" fillId="0" borderId="1" xfId="1" applyFont="1" applyBorder="1" applyAlignment="1" applyProtection="1">
      <alignment vertical="center"/>
    </xf>
    <xf numFmtId="44" fontId="15" fillId="0" borderId="42" xfId="1" applyFont="1" applyBorder="1" applyAlignment="1" applyProtection="1">
      <alignment vertical="center"/>
    </xf>
    <xf numFmtId="0" fontId="18" fillId="0" borderId="0" xfId="0" applyFont="1" applyBorder="1" applyProtection="1"/>
    <xf numFmtId="0" fontId="18" fillId="0" borderId="35" xfId="0" applyFont="1" applyBorder="1" applyProtection="1"/>
    <xf numFmtId="0" fontId="18" fillId="0" borderId="49" xfId="0" applyFont="1" applyBorder="1" applyProtection="1"/>
    <xf numFmtId="0" fontId="18" fillId="0" borderId="50" xfId="0" applyFont="1" applyBorder="1" applyProtection="1"/>
    <xf numFmtId="0" fontId="14" fillId="0" borderId="31" xfId="0" applyFont="1" applyBorder="1" applyAlignment="1" applyProtection="1">
      <alignment horizontal="center" vertical="center" wrapText="1"/>
    </xf>
    <xf numFmtId="0" fontId="14" fillId="0" borderId="32" xfId="0" applyFont="1" applyBorder="1" applyAlignment="1" applyProtection="1">
      <alignment horizontal="center" vertical="center"/>
    </xf>
    <xf numFmtId="0" fontId="14" fillId="0" borderId="33" xfId="0" applyFont="1" applyBorder="1" applyAlignment="1" applyProtection="1">
      <alignment horizontal="center" vertical="center"/>
    </xf>
    <xf numFmtId="0" fontId="14" fillId="0" borderId="34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/>
    </xf>
    <xf numFmtId="0" fontId="14" fillId="0" borderId="35" xfId="0" applyFont="1" applyBorder="1" applyAlignment="1" applyProtection="1">
      <alignment horizontal="center" vertical="center"/>
    </xf>
    <xf numFmtId="0" fontId="15" fillId="0" borderId="34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/>
    </xf>
    <xf numFmtId="0" fontId="15" fillId="0" borderId="35" xfId="0" applyFont="1" applyBorder="1" applyAlignment="1" applyProtection="1">
      <alignment horizontal="center" vertical="center"/>
    </xf>
    <xf numFmtId="10" fontId="16" fillId="0" borderId="0" xfId="0" applyNumberFormat="1" applyFont="1" applyFill="1" applyBorder="1" applyAlignment="1" applyProtection="1">
      <alignment horizontal="center" vertical="center" wrapText="1"/>
    </xf>
    <xf numFmtId="10" fontId="16" fillId="0" borderId="0" xfId="0" applyNumberFormat="1" applyFont="1" applyFill="1" applyBorder="1" applyAlignment="1" applyProtection="1">
      <alignment horizontal="center" vertical="center"/>
    </xf>
    <xf numFmtId="10" fontId="16" fillId="0" borderId="35" xfId="0" applyNumberFormat="1" applyFont="1" applyFill="1" applyBorder="1" applyAlignment="1" applyProtection="1">
      <alignment horizontal="center" vertical="center"/>
    </xf>
    <xf numFmtId="0" fontId="17" fillId="11" borderId="23" xfId="0" applyFont="1" applyFill="1" applyBorder="1" applyAlignment="1" applyProtection="1">
      <alignment horizontal="center" vertical="center" wrapText="1"/>
    </xf>
    <xf numFmtId="0" fontId="17" fillId="11" borderId="25" xfId="0" applyFont="1" applyFill="1" applyBorder="1" applyAlignment="1" applyProtection="1">
      <alignment horizontal="center" vertical="center"/>
    </xf>
    <xf numFmtId="4" fontId="17" fillId="11" borderId="23" xfId="0" applyNumberFormat="1" applyFont="1" applyFill="1" applyBorder="1" applyAlignment="1" applyProtection="1">
      <alignment horizontal="center" vertical="center"/>
    </xf>
    <xf numFmtId="4" fontId="17" fillId="11" borderId="25" xfId="0" applyNumberFormat="1" applyFont="1" applyFill="1" applyBorder="1" applyAlignment="1" applyProtection="1">
      <alignment horizontal="center" vertical="center"/>
    </xf>
    <xf numFmtId="10" fontId="12" fillId="0" borderId="23" xfId="0" applyNumberFormat="1" applyFont="1" applyBorder="1" applyAlignment="1" applyProtection="1">
      <alignment horizontal="center" vertical="center" wrapText="1"/>
    </xf>
    <xf numFmtId="10" fontId="12" fillId="0" borderId="25" xfId="0" applyNumberFormat="1" applyFont="1" applyBorder="1" applyAlignment="1" applyProtection="1">
      <alignment horizontal="center" vertical="center" wrapText="1"/>
    </xf>
    <xf numFmtId="4" fontId="12" fillId="0" borderId="23" xfId="0" applyNumberFormat="1" applyFont="1" applyBorder="1" applyAlignment="1" applyProtection="1">
      <alignment horizontal="center" vertical="center"/>
    </xf>
    <xf numFmtId="4" fontId="12" fillId="0" borderId="25" xfId="0" applyNumberFormat="1" applyFont="1" applyBorder="1" applyAlignment="1" applyProtection="1">
      <alignment horizontal="center" vertical="center"/>
    </xf>
    <xf numFmtId="2" fontId="15" fillId="0" borderId="27" xfId="0" applyNumberFormat="1" applyFont="1" applyBorder="1" applyAlignment="1" applyProtection="1">
      <alignment horizontal="center" vertical="center"/>
    </xf>
    <xf numFmtId="2" fontId="12" fillId="0" borderId="27" xfId="0" applyNumberFormat="1" applyFont="1" applyBorder="1" applyAlignment="1" applyProtection="1">
      <alignment horizontal="center" vertical="center"/>
    </xf>
    <xf numFmtId="2" fontId="12" fillId="0" borderId="47" xfId="0" applyNumberFormat="1" applyFont="1" applyBorder="1" applyAlignment="1" applyProtection="1">
      <alignment horizontal="center" vertical="center"/>
    </xf>
    <xf numFmtId="2" fontId="15" fillId="0" borderId="28" xfId="0" applyNumberFormat="1" applyFont="1" applyBorder="1" applyAlignment="1" applyProtection="1">
      <alignment horizontal="center" vertical="center"/>
    </xf>
    <xf numFmtId="0" fontId="14" fillId="0" borderId="3" xfId="0" applyFont="1" applyBorder="1" applyAlignment="1" applyProtection="1">
      <alignment horizontal="center" vertical="center" wrapText="1"/>
    </xf>
    <xf numFmtId="0" fontId="14" fillId="0" borderId="4" xfId="0" applyFont="1" applyBorder="1" applyAlignment="1" applyProtection="1">
      <alignment horizontal="center" vertical="center"/>
    </xf>
    <xf numFmtId="0" fontId="14" fillId="0" borderId="5" xfId="0" applyFont="1" applyBorder="1" applyAlignment="1" applyProtection="1">
      <alignment horizontal="center" vertical="center"/>
    </xf>
    <xf numFmtId="0" fontId="14" fillId="0" borderId="6" xfId="0" applyFont="1" applyBorder="1" applyAlignment="1" applyProtection="1">
      <alignment horizontal="center" vertical="center"/>
    </xf>
    <xf numFmtId="0" fontId="14" fillId="0" borderId="7" xfId="0" applyFont="1" applyBorder="1" applyAlignment="1" applyProtection="1">
      <alignment horizontal="center" vertical="center"/>
    </xf>
    <xf numFmtId="0" fontId="15" fillId="0" borderId="6" xfId="0" applyFont="1" applyBorder="1" applyAlignment="1" applyProtection="1">
      <alignment horizontal="center" vertical="center"/>
    </xf>
    <xf numFmtId="0" fontId="15" fillId="0" borderId="7" xfId="0" applyFont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/>
    </xf>
    <xf numFmtId="0" fontId="20" fillId="0" borderId="7" xfId="0" applyFont="1" applyBorder="1" applyAlignment="1" applyProtection="1">
      <alignment horizontal="center"/>
    </xf>
    <xf numFmtId="2" fontId="17" fillId="0" borderId="51" xfId="0" applyNumberFormat="1" applyFont="1" applyBorder="1" applyAlignment="1" applyProtection="1">
      <alignment horizontal="center"/>
    </xf>
    <xf numFmtId="0" fontId="17" fillId="11" borderId="25" xfId="0" applyFont="1" applyFill="1" applyBorder="1" applyAlignment="1" applyProtection="1">
      <alignment horizontal="center" vertical="center" wrapText="1"/>
    </xf>
    <xf numFmtId="4" fontId="12" fillId="0" borderId="24" xfId="0" applyNumberFormat="1" applyFont="1" applyBorder="1" applyAlignment="1" applyProtection="1">
      <alignment horizontal="center" vertical="center"/>
    </xf>
    <xf numFmtId="4" fontId="12" fillId="0" borderId="26" xfId="0" applyNumberFormat="1" applyFont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" fillId="6" borderId="0" xfId="0" applyFont="1" applyFill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2" fillId="7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2" fillId="9" borderId="0" xfId="0" applyFont="1" applyFill="1" applyAlignment="1">
      <alignment horizontal="center" vertical="center"/>
    </xf>
    <xf numFmtId="0" fontId="21" fillId="0" borderId="34" xfId="0" applyFont="1" applyBorder="1" applyAlignment="1" applyProtection="1">
      <alignment horizontal="left" vertical="center" wrapText="1"/>
    </xf>
    <xf numFmtId="0" fontId="21" fillId="0" borderId="0" xfId="0" applyFont="1" applyBorder="1" applyAlignment="1" applyProtection="1">
      <alignment horizontal="left" vertical="center" wrapText="1"/>
    </xf>
    <xf numFmtId="0" fontId="21" fillId="0" borderId="35" xfId="0" applyFont="1" applyBorder="1" applyAlignment="1" applyProtection="1">
      <alignment horizontal="left" vertical="center" wrapText="1"/>
    </xf>
    <xf numFmtId="0" fontId="21" fillId="0" borderId="6" xfId="0" applyFont="1" applyBorder="1" applyAlignment="1" applyProtection="1">
      <alignment horizontal="left" vertical="center" wrapText="1"/>
    </xf>
    <xf numFmtId="0" fontId="21" fillId="0" borderId="7" xfId="0" applyFont="1" applyBorder="1" applyAlignment="1" applyProtection="1">
      <alignment horizontal="left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F85E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793146</xdr:colOff>
      <xdr:row>3</xdr:row>
      <xdr:rowOff>30025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0"/>
          <a:ext cx="755046" cy="60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755046</xdr:colOff>
      <xdr:row>3</xdr:row>
      <xdr:rowOff>30025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55046" cy="6015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456716</xdr:colOff>
      <xdr:row>2</xdr:row>
      <xdr:rowOff>57150</xdr:rowOff>
    </xdr:from>
    <xdr:to>
      <xdr:col>14</xdr:col>
      <xdr:colOff>704849</xdr:colOff>
      <xdr:row>15</xdr:row>
      <xdr:rowOff>76200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2916" y="438150"/>
          <a:ext cx="3296133" cy="2628900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457200</xdr:colOff>
      <xdr:row>105</xdr:row>
      <xdr:rowOff>9525</xdr:rowOff>
    </xdr:from>
    <xdr:to>
      <xdr:col>4</xdr:col>
      <xdr:colOff>707422</xdr:colOff>
      <xdr:row>118</xdr:row>
      <xdr:rowOff>160629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7200" y="23269575"/>
          <a:ext cx="3298222" cy="262760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323850</xdr:colOff>
      <xdr:row>2</xdr:row>
      <xdr:rowOff>9525</xdr:rowOff>
    </xdr:from>
    <xdr:to>
      <xdr:col>15</xdr:col>
      <xdr:colOff>574072</xdr:colOff>
      <xdr:row>15</xdr:row>
      <xdr:rowOff>27279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58250" y="390525"/>
          <a:ext cx="3298222" cy="2627604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78</xdr:row>
      <xdr:rowOff>114300</xdr:rowOff>
    </xdr:from>
    <xdr:to>
      <xdr:col>4</xdr:col>
      <xdr:colOff>316897</xdr:colOff>
      <xdr:row>92</xdr:row>
      <xdr:rowOff>74904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15640050"/>
          <a:ext cx="3298222" cy="262760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419100</xdr:colOff>
      <xdr:row>2</xdr:row>
      <xdr:rowOff>38100</xdr:rowOff>
    </xdr:from>
    <xdr:to>
      <xdr:col>11</xdr:col>
      <xdr:colOff>669322</xdr:colOff>
      <xdr:row>15</xdr:row>
      <xdr:rowOff>55854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76925" y="419100"/>
          <a:ext cx="3298222" cy="26276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549</xdr:row>
      <xdr:rowOff>66675</xdr:rowOff>
    </xdr:from>
    <xdr:to>
      <xdr:col>4</xdr:col>
      <xdr:colOff>250222</xdr:colOff>
      <xdr:row>563</xdr:row>
      <xdr:rowOff>27279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0242350"/>
          <a:ext cx="3298222" cy="26276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49"/>
  <sheetViews>
    <sheetView showGridLines="0" workbookViewId="0">
      <selection activeCell="G4" sqref="G4"/>
    </sheetView>
  </sheetViews>
  <sheetFormatPr baseColWidth="10" defaultRowHeight="15" x14ac:dyDescent="0.25"/>
  <cols>
    <col min="1" max="1" width="30.7109375" style="158" customWidth="1"/>
    <col min="2" max="6" width="20.7109375" style="158" customWidth="1"/>
    <col min="7" max="16384" width="11.42578125" style="69"/>
  </cols>
  <sheetData>
    <row r="1" spans="1:6" x14ac:dyDescent="0.25">
      <c r="A1" s="229" t="s">
        <v>197</v>
      </c>
      <c r="B1" s="230"/>
      <c r="C1" s="230"/>
      <c r="D1" s="230"/>
      <c r="E1" s="230"/>
      <c r="F1" s="231"/>
    </row>
    <row r="2" spans="1:6" x14ac:dyDescent="0.25">
      <c r="A2" s="232"/>
      <c r="B2" s="233"/>
      <c r="C2" s="233"/>
      <c r="D2" s="233"/>
      <c r="E2" s="233"/>
      <c r="F2" s="234"/>
    </row>
    <row r="3" spans="1:6" x14ac:dyDescent="0.25">
      <c r="A3" s="235" t="s">
        <v>151</v>
      </c>
      <c r="B3" s="236"/>
      <c r="C3" s="236"/>
      <c r="D3" s="236"/>
      <c r="E3" s="236"/>
      <c r="F3" s="237"/>
    </row>
    <row r="4" spans="1:6" x14ac:dyDescent="0.25">
      <c r="A4" s="275" t="s">
        <v>211</v>
      </c>
      <c r="B4" s="276"/>
      <c r="C4" s="276"/>
      <c r="D4" s="276"/>
      <c r="E4" s="276"/>
      <c r="F4" s="277"/>
    </row>
    <row r="5" spans="1:6" ht="15.75" thickBot="1" x14ac:dyDescent="0.3">
      <c r="A5" s="275"/>
      <c r="B5" s="276"/>
      <c r="C5" s="276"/>
      <c r="D5" s="276"/>
      <c r="E5" s="276"/>
      <c r="F5" s="277"/>
    </row>
    <row r="6" spans="1:6" ht="15.75" thickBot="1" x14ac:dyDescent="0.3">
      <c r="A6" s="161" t="s">
        <v>191</v>
      </c>
      <c r="B6" s="80"/>
      <c r="C6" s="81"/>
      <c r="D6" s="80"/>
      <c r="E6" s="149"/>
      <c r="F6" s="162"/>
    </row>
    <row r="7" spans="1:6" x14ac:dyDescent="0.25">
      <c r="A7" s="163"/>
      <c r="B7" s="80"/>
      <c r="C7" s="81"/>
      <c r="D7" s="80"/>
      <c r="E7" s="149"/>
      <c r="F7" s="162"/>
    </row>
    <row r="8" spans="1:6" x14ac:dyDescent="0.25">
      <c r="A8" s="164" t="s">
        <v>152</v>
      </c>
      <c r="B8" s="182" t="s">
        <v>192</v>
      </c>
      <c r="C8" s="71"/>
      <c r="D8" s="184" t="s">
        <v>195</v>
      </c>
      <c r="E8" s="72"/>
      <c r="F8" s="186" t="s">
        <v>153</v>
      </c>
    </row>
    <row r="9" spans="1:6" x14ac:dyDescent="0.25">
      <c r="A9" s="165">
        <f>5907.34/1200</f>
        <v>4.9227833333333333</v>
      </c>
      <c r="B9" s="182" t="s">
        <v>193</v>
      </c>
      <c r="C9" s="73"/>
      <c r="D9" s="185" t="s">
        <v>196</v>
      </c>
      <c r="E9" s="72"/>
      <c r="F9" s="186" t="s">
        <v>154</v>
      </c>
    </row>
    <row r="10" spans="1:6" ht="22.5" customHeight="1" x14ac:dyDescent="0.25">
      <c r="A10" s="166"/>
      <c r="B10" s="183" t="s">
        <v>194</v>
      </c>
      <c r="C10" s="156"/>
      <c r="D10" s="238" t="s">
        <v>156</v>
      </c>
      <c r="E10" s="239"/>
      <c r="F10" s="240"/>
    </row>
    <row r="11" spans="1:6" ht="15.75" thickBot="1" x14ac:dyDescent="0.3">
      <c r="A11" s="167"/>
      <c r="B11" s="144"/>
      <c r="C11" s="81"/>
      <c r="D11" s="80"/>
      <c r="E11" s="149"/>
      <c r="F11" s="162"/>
    </row>
    <row r="12" spans="1:6" ht="27" thickTop="1" thickBot="1" x14ac:dyDescent="0.3">
      <c r="A12" s="168"/>
      <c r="B12" s="76" t="s">
        <v>157</v>
      </c>
      <c r="C12" s="89" t="s">
        <v>158</v>
      </c>
      <c r="D12" s="90" t="s">
        <v>159</v>
      </c>
      <c r="E12" s="91" t="s">
        <v>158</v>
      </c>
      <c r="F12" s="187" t="s">
        <v>160</v>
      </c>
    </row>
    <row r="13" spans="1:6" ht="15.75" thickTop="1" x14ac:dyDescent="0.25">
      <c r="A13" s="169" t="s">
        <v>161</v>
      </c>
      <c r="B13" s="212">
        <f>C9*A9</f>
        <v>0</v>
      </c>
      <c r="C13" s="95">
        <f>151.67*E9/35</f>
        <v>0</v>
      </c>
      <c r="D13" s="188">
        <f>B13*C13/151.67</f>
        <v>0</v>
      </c>
      <c r="E13" s="189"/>
      <c r="F13" s="190"/>
    </row>
    <row r="14" spans="1:6" x14ac:dyDescent="0.25">
      <c r="A14" s="170" t="s">
        <v>162</v>
      </c>
      <c r="B14" s="213">
        <f>E8</f>
        <v>0</v>
      </c>
      <c r="C14" s="208"/>
      <c r="D14" s="191">
        <f>(B14*A9)*C13/151.67</f>
        <v>0</v>
      </c>
      <c r="E14" s="192"/>
      <c r="F14" s="193"/>
    </row>
    <row r="15" spans="1:6" x14ac:dyDescent="0.25">
      <c r="A15" s="171" t="s">
        <v>163</v>
      </c>
      <c r="B15" s="214">
        <f>IF(B13&lt;1777.12,1777.12-B13,0)</f>
        <v>1777.12</v>
      </c>
      <c r="C15" s="209">
        <f>IF(A13&lt;1466.62,1466.62-A13,0)</f>
        <v>0</v>
      </c>
      <c r="D15" s="194">
        <f>B15*C13/151.67</f>
        <v>0</v>
      </c>
      <c r="E15" s="195"/>
      <c r="F15" s="196"/>
    </row>
    <row r="16" spans="1:6" x14ac:dyDescent="0.25">
      <c r="A16" s="170" t="s">
        <v>164</v>
      </c>
      <c r="B16" s="215">
        <f>IF(C10=3,192.07,IF(C10=2,76.98,IF(C10=1,2.29,0)))</f>
        <v>0</v>
      </c>
      <c r="C16" s="208">
        <v>0</v>
      </c>
      <c r="D16" s="197">
        <f>IF(B16=2.29,2.29,(B16*C13/151.67))</f>
        <v>0</v>
      </c>
      <c r="E16" s="192"/>
      <c r="F16" s="193"/>
    </row>
    <row r="17" spans="1:6" x14ac:dyDescent="0.25">
      <c r="A17" s="170" t="s">
        <v>165</v>
      </c>
      <c r="B17" s="157"/>
      <c r="C17" s="208">
        <v>0</v>
      </c>
      <c r="D17" s="197">
        <f>B17*C13/151.67</f>
        <v>0</v>
      </c>
      <c r="E17" s="192"/>
      <c r="F17" s="193"/>
    </row>
    <row r="18" spans="1:6" x14ac:dyDescent="0.25">
      <c r="A18" s="172" t="s">
        <v>166</v>
      </c>
      <c r="B18" s="77"/>
      <c r="C18" s="210"/>
      <c r="D18" s="194">
        <f>B18*C13/151.67</f>
        <v>0</v>
      </c>
      <c r="E18" s="198"/>
      <c r="F18" s="199"/>
    </row>
    <row r="19" spans="1:6" x14ac:dyDescent="0.25">
      <c r="A19" s="173" t="s">
        <v>167</v>
      </c>
      <c r="B19" s="78"/>
      <c r="C19" s="211"/>
      <c r="D19" s="200">
        <f>(B19*C13)/151.67</f>
        <v>0</v>
      </c>
      <c r="E19" s="198"/>
      <c r="F19" s="199"/>
    </row>
    <row r="20" spans="1:6" x14ac:dyDescent="0.25">
      <c r="A20" s="173" t="s">
        <v>167</v>
      </c>
      <c r="B20" s="78"/>
      <c r="C20" s="211"/>
      <c r="D20" s="200">
        <f>(B20*C14)/151.67</f>
        <v>0</v>
      </c>
      <c r="E20" s="198"/>
      <c r="F20" s="199"/>
    </row>
    <row r="21" spans="1:6" x14ac:dyDescent="0.25">
      <c r="A21" s="173" t="s">
        <v>168</v>
      </c>
      <c r="B21" s="78"/>
      <c r="C21" s="211"/>
      <c r="D21" s="200">
        <f>B21*C13/151.67</f>
        <v>0</v>
      </c>
      <c r="E21" s="198"/>
      <c r="F21" s="199"/>
    </row>
    <row r="22" spans="1:6" x14ac:dyDescent="0.25">
      <c r="A22" s="174" t="s">
        <v>169</v>
      </c>
      <c r="B22" s="216"/>
      <c r="C22" s="116"/>
      <c r="D22" s="117">
        <f>SUM(D13:D21)</f>
        <v>0</v>
      </c>
      <c r="E22" s="118"/>
      <c r="F22" s="199"/>
    </row>
    <row r="23" spans="1:6" x14ac:dyDescent="0.25">
      <c r="A23" s="173" t="s">
        <v>170</v>
      </c>
      <c r="B23" s="154">
        <f>(SUM(D13:D20)*98.25/100)+$D$21</f>
        <v>0</v>
      </c>
      <c r="C23" s="202">
        <v>6.8000000000000005E-2</v>
      </c>
      <c r="D23" s="115">
        <f>B23*C23</f>
        <v>0</v>
      </c>
      <c r="E23" s="118"/>
      <c r="F23" s="201"/>
    </row>
    <row r="24" spans="1:6" x14ac:dyDescent="0.25">
      <c r="A24" s="173" t="s">
        <v>171</v>
      </c>
      <c r="B24" s="154">
        <f>(SUM(D13:D20)*98.25/100)+$D$21</f>
        <v>0</v>
      </c>
      <c r="C24" s="202">
        <v>2.4E-2</v>
      </c>
      <c r="D24" s="115">
        <f>B24*C24</f>
        <v>0</v>
      </c>
      <c r="E24" s="118"/>
      <c r="F24" s="201"/>
    </row>
    <row r="25" spans="1:6" x14ac:dyDescent="0.25">
      <c r="A25" s="173" t="s">
        <v>172</v>
      </c>
      <c r="B25" s="154">
        <f>(SUM(D13:D20)*98.25/100)+$D$21</f>
        <v>0</v>
      </c>
      <c r="C25" s="202">
        <v>5.0000000000000001E-3</v>
      </c>
      <c r="D25" s="115">
        <f>B25*C25</f>
        <v>0</v>
      </c>
      <c r="E25" s="118"/>
      <c r="F25" s="201"/>
    </row>
    <row r="26" spans="1:6" x14ac:dyDescent="0.25">
      <c r="A26" s="173" t="s">
        <v>173</v>
      </c>
      <c r="B26" s="154">
        <f>$D$13+$D$14</f>
        <v>0</v>
      </c>
      <c r="C26" s="114"/>
      <c r="D26" s="115"/>
      <c r="E26" s="202">
        <v>9.8799999999999999E-2</v>
      </c>
      <c r="F26" s="201">
        <f t="shared" ref="F26:F32" si="0">B26*E26</f>
        <v>0</v>
      </c>
    </row>
    <row r="27" spans="1:6" x14ac:dyDescent="0.25">
      <c r="A27" s="173" t="s">
        <v>174</v>
      </c>
      <c r="B27" s="154">
        <f>$D$13+$D$14</f>
        <v>0</v>
      </c>
      <c r="C27" s="114"/>
      <c r="D27" s="115"/>
      <c r="E27" s="202">
        <v>3.0000000000000001E-3</v>
      </c>
      <c r="F27" s="201">
        <f t="shared" si="0"/>
        <v>0</v>
      </c>
    </row>
    <row r="28" spans="1:6" x14ac:dyDescent="0.25">
      <c r="A28" s="173" t="s">
        <v>175</v>
      </c>
      <c r="B28" s="154">
        <f>$D$13+$D$14</f>
        <v>0</v>
      </c>
      <c r="C28" s="114"/>
      <c r="D28" s="115"/>
      <c r="E28" s="202">
        <v>5.2499999999999998E-2</v>
      </c>
      <c r="F28" s="201">
        <f t="shared" si="0"/>
        <v>0</v>
      </c>
    </row>
    <row r="29" spans="1:6" x14ac:dyDescent="0.25">
      <c r="A29" s="173" t="s">
        <v>176</v>
      </c>
      <c r="B29" s="154">
        <f>IF($D$13&gt;3666,3666,$D$13)+$D$14</f>
        <v>0</v>
      </c>
      <c r="C29" s="114"/>
      <c r="D29" s="115"/>
      <c r="E29" s="128">
        <v>5.0000000000000001E-3</v>
      </c>
      <c r="F29" s="201">
        <f>B29*E29</f>
        <v>0</v>
      </c>
    </row>
    <row r="30" spans="1:6" x14ac:dyDescent="0.25">
      <c r="A30" s="173" t="s">
        <v>177</v>
      </c>
      <c r="B30" s="154">
        <f>D13</f>
        <v>0</v>
      </c>
      <c r="C30" s="114"/>
      <c r="D30" s="115"/>
      <c r="E30" s="202">
        <v>4.0000000000000001E-3</v>
      </c>
      <c r="F30" s="201">
        <f t="shared" si="0"/>
        <v>0</v>
      </c>
    </row>
    <row r="31" spans="1:6" x14ac:dyDescent="0.25">
      <c r="A31" s="173" t="s">
        <v>178</v>
      </c>
      <c r="B31" s="154">
        <f>$D$13+$D$14</f>
        <v>0</v>
      </c>
      <c r="C31" s="114"/>
      <c r="D31" s="115"/>
      <c r="E31" s="128">
        <v>6.0000000000000001E-3</v>
      </c>
      <c r="F31" s="201">
        <f t="shared" si="0"/>
        <v>0</v>
      </c>
    </row>
    <row r="32" spans="1:6" x14ac:dyDescent="0.25">
      <c r="A32" s="173" t="s">
        <v>179</v>
      </c>
      <c r="B32" s="154">
        <f>$D$13+D14</f>
        <v>0</v>
      </c>
      <c r="C32" s="202">
        <v>0.111</v>
      </c>
      <c r="D32" s="115">
        <f>B32*C32</f>
        <v>0</v>
      </c>
      <c r="E32" s="202">
        <v>0.30649999999999999</v>
      </c>
      <c r="F32" s="201">
        <f t="shared" si="0"/>
        <v>0</v>
      </c>
    </row>
    <row r="33" spans="1:6" x14ac:dyDescent="0.25">
      <c r="A33" s="175" t="s">
        <v>180</v>
      </c>
      <c r="B33" s="155">
        <f>IF((D16+D17+D18+D19+D21+D15)&gt;(20%*D13),(20%*D13),(D16+D15+D17+D18+D19+D21))</f>
        <v>0</v>
      </c>
      <c r="C33" s="203">
        <v>0.05</v>
      </c>
      <c r="D33" s="120">
        <f>B33*C33</f>
        <v>0</v>
      </c>
      <c r="E33" s="203">
        <v>0.05</v>
      </c>
      <c r="F33" s="204">
        <f>B33*E33</f>
        <v>0</v>
      </c>
    </row>
    <row r="34" spans="1:6" x14ac:dyDescent="0.25">
      <c r="A34" s="175" t="s">
        <v>181</v>
      </c>
      <c r="B34" s="155">
        <f>D13+D14+D15</f>
        <v>0</v>
      </c>
      <c r="C34" s="203"/>
      <c r="D34" s="120"/>
      <c r="E34" s="203">
        <v>1.7000000000000001E-2</v>
      </c>
      <c r="F34" s="204">
        <f>B34*E34</f>
        <v>0</v>
      </c>
    </row>
    <row r="35" spans="1:6" x14ac:dyDescent="0.25">
      <c r="A35" s="173" t="s">
        <v>182</v>
      </c>
      <c r="B35" s="154">
        <f>D13+D14+D15</f>
        <v>0</v>
      </c>
      <c r="C35" s="118"/>
      <c r="D35" s="115"/>
      <c r="E35" s="202">
        <v>8.9999999999999993E-3</v>
      </c>
      <c r="F35" s="201">
        <f>B35*E35</f>
        <v>0</v>
      </c>
    </row>
    <row r="36" spans="1:6" x14ac:dyDescent="0.25">
      <c r="A36" s="173" t="s">
        <v>183</v>
      </c>
      <c r="B36" s="154">
        <f>D13+D14+D15</f>
        <v>0</v>
      </c>
      <c r="C36" s="118"/>
      <c r="D36" s="115"/>
      <c r="E36" s="202">
        <v>1E-3</v>
      </c>
      <c r="F36" s="201">
        <f>B36*E36</f>
        <v>0</v>
      </c>
    </row>
    <row r="37" spans="1:6" ht="15.75" thickBot="1" x14ac:dyDescent="0.3">
      <c r="A37" s="176" t="s">
        <v>184</v>
      </c>
      <c r="B37" s="78"/>
      <c r="C37" s="157"/>
      <c r="D37" s="205">
        <f>B37*C37</f>
        <v>0</v>
      </c>
      <c r="E37" s="206"/>
      <c r="F37" s="207"/>
    </row>
    <row r="38" spans="1:6" ht="15.75" thickTop="1" x14ac:dyDescent="0.25">
      <c r="A38" s="177"/>
      <c r="B38" s="80"/>
      <c r="C38" s="81"/>
      <c r="D38" s="80"/>
      <c r="E38" s="149"/>
      <c r="F38" s="217"/>
    </row>
    <row r="39" spans="1:6" ht="15.75" thickBot="1" x14ac:dyDescent="0.3">
      <c r="A39" s="177"/>
      <c r="B39" s="80"/>
      <c r="C39" s="81"/>
      <c r="D39" s="80"/>
      <c r="E39" s="149"/>
      <c r="F39" s="217"/>
    </row>
    <row r="40" spans="1:6" ht="15" customHeight="1" x14ac:dyDescent="0.25">
      <c r="A40" s="177"/>
      <c r="B40" s="80"/>
      <c r="C40" s="241" t="s">
        <v>185</v>
      </c>
      <c r="D40" s="243">
        <f>D22-(D23+D24+D25+D32+D33)-D37</f>
        <v>0</v>
      </c>
      <c r="E40" s="245" t="s">
        <v>186</v>
      </c>
      <c r="F40" s="247">
        <f>SUM(F26:F37)</f>
        <v>0</v>
      </c>
    </row>
    <row r="41" spans="1:6" ht="15.75" thickBot="1" x14ac:dyDescent="0.3">
      <c r="A41" s="177"/>
      <c r="B41" s="80"/>
      <c r="C41" s="242"/>
      <c r="D41" s="244"/>
      <c r="E41" s="246"/>
      <c r="F41" s="248"/>
    </row>
    <row r="42" spans="1:6" x14ac:dyDescent="0.25">
      <c r="A42" s="177"/>
      <c r="B42" s="80"/>
      <c r="C42" s="134"/>
      <c r="D42" s="135"/>
      <c r="E42" s="136"/>
      <c r="F42" s="218"/>
    </row>
    <row r="43" spans="1:6" x14ac:dyDescent="0.25">
      <c r="A43" s="177"/>
      <c r="B43" s="80"/>
      <c r="C43" s="134"/>
      <c r="D43" s="249" t="s">
        <v>187</v>
      </c>
      <c r="E43" s="250"/>
      <c r="F43" s="251"/>
    </row>
    <row r="44" spans="1:6" x14ac:dyDescent="0.25">
      <c r="A44" s="178"/>
      <c r="B44" s="219"/>
      <c r="C44" s="220"/>
      <c r="D44" s="138" t="s">
        <v>188</v>
      </c>
      <c r="E44" s="139" t="s">
        <v>189</v>
      </c>
      <c r="F44" s="221" t="s">
        <v>190</v>
      </c>
    </row>
    <row r="45" spans="1:6" x14ac:dyDescent="0.25">
      <c r="A45" s="179"/>
      <c r="B45" s="152"/>
      <c r="C45" s="222"/>
      <c r="D45" s="223">
        <f>D22</f>
        <v>0</v>
      </c>
      <c r="E45" s="223">
        <f>F40</f>
        <v>0</v>
      </c>
      <c r="F45" s="224">
        <f>+E45+D45</f>
        <v>0</v>
      </c>
    </row>
    <row r="46" spans="1:6" x14ac:dyDescent="0.25">
      <c r="A46" s="177"/>
      <c r="B46" s="80"/>
      <c r="C46" s="81"/>
      <c r="D46" s="80"/>
      <c r="E46" s="149"/>
      <c r="F46" s="162"/>
    </row>
    <row r="47" spans="1:6" x14ac:dyDescent="0.25">
      <c r="A47" s="180"/>
      <c r="B47" s="225"/>
      <c r="C47" s="225"/>
      <c r="D47" s="225"/>
      <c r="E47" s="225"/>
      <c r="F47" s="226"/>
    </row>
    <row r="48" spans="1:6" x14ac:dyDescent="0.25">
      <c r="A48" s="180"/>
      <c r="B48" s="225"/>
      <c r="C48" s="225"/>
      <c r="D48" s="225"/>
      <c r="E48" s="225"/>
      <c r="F48" s="226"/>
    </row>
    <row r="49" spans="1:6" ht="15.75" thickBot="1" x14ac:dyDescent="0.3">
      <c r="A49" s="181"/>
      <c r="B49" s="227"/>
      <c r="C49" s="227"/>
      <c r="D49" s="227"/>
      <c r="E49" s="227"/>
      <c r="F49" s="228"/>
    </row>
  </sheetData>
  <sheetProtection algorithmName="SHA-512" hashValue="j3dL7cdCeAsEJNV+TSflpTB9viGZtJg+vu+CfD9qCO6MTVnL+h05MBIRnZvhC+Lh7sEvMyPPTuhR1bI16PnQiw==" saltValue="OniDE4dDQ/QvrQBElWBs2Q==" spinCount="100000" sheet="1" objects="1" scenarios="1" selectLockedCells="1"/>
  <mergeCells count="9">
    <mergeCell ref="D43:F43"/>
    <mergeCell ref="A1:F2"/>
    <mergeCell ref="A3:F3"/>
    <mergeCell ref="A4:F5"/>
    <mergeCell ref="D10:F10"/>
    <mergeCell ref="C40:C41"/>
    <mergeCell ref="D40:D41"/>
    <mergeCell ref="E40:E41"/>
    <mergeCell ref="F40:F41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45"/>
  <sheetViews>
    <sheetView showGridLines="0" tabSelected="1" workbookViewId="0">
      <selection activeCell="G4" sqref="G4"/>
    </sheetView>
  </sheetViews>
  <sheetFormatPr baseColWidth="10" defaultRowHeight="15" x14ac:dyDescent="0.25"/>
  <cols>
    <col min="1" max="1" width="30.7109375" style="69" customWidth="1"/>
    <col min="2" max="6" width="20.7109375" style="69" customWidth="1"/>
    <col min="7" max="16384" width="11.42578125" style="69"/>
  </cols>
  <sheetData>
    <row r="1" spans="1:6" x14ac:dyDescent="0.25">
      <c r="A1" s="253" t="s">
        <v>210</v>
      </c>
      <c r="B1" s="254"/>
      <c r="C1" s="254"/>
      <c r="D1" s="254"/>
      <c r="E1" s="254"/>
      <c r="F1" s="255"/>
    </row>
    <row r="2" spans="1:6" x14ac:dyDescent="0.25">
      <c r="A2" s="256"/>
      <c r="B2" s="233"/>
      <c r="C2" s="233"/>
      <c r="D2" s="233"/>
      <c r="E2" s="233"/>
      <c r="F2" s="257"/>
    </row>
    <row r="3" spans="1:6" x14ac:dyDescent="0.25">
      <c r="A3" s="258" t="s">
        <v>151</v>
      </c>
      <c r="B3" s="236"/>
      <c r="C3" s="236"/>
      <c r="D3" s="236"/>
      <c r="E3" s="236"/>
      <c r="F3" s="259"/>
    </row>
    <row r="4" spans="1:6" x14ac:dyDescent="0.25">
      <c r="A4" s="278" t="s">
        <v>211</v>
      </c>
      <c r="B4" s="276"/>
      <c r="C4" s="276"/>
      <c r="D4" s="276"/>
      <c r="E4" s="276"/>
      <c r="F4" s="279"/>
    </row>
    <row r="5" spans="1:6" x14ac:dyDescent="0.25">
      <c r="A5" s="278"/>
      <c r="B5" s="276"/>
      <c r="C5" s="276"/>
      <c r="D5" s="276"/>
      <c r="E5" s="276"/>
      <c r="F5" s="279"/>
    </row>
    <row r="6" spans="1:6" x14ac:dyDescent="0.25">
      <c r="A6" s="79" t="s">
        <v>191</v>
      </c>
      <c r="B6" s="80"/>
      <c r="C6" s="81"/>
      <c r="D6" s="260" t="s">
        <v>198</v>
      </c>
      <c r="E6" s="260"/>
      <c r="F6" s="261"/>
    </row>
    <row r="7" spans="1:6" x14ac:dyDescent="0.25">
      <c r="A7" s="159" t="s">
        <v>152</v>
      </c>
      <c r="B7" s="143" t="s">
        <v>0</v>
      </c>
      <c r="C7" s="71"/>
      <c r="D7" s="84"/>
      <c r="E7" s="85" t="s">
        <v>199</v>
      </c>
      <c r="F7" s="72"/>
    </row>
    <row r="8" spans="1:6" x14ac:dyDescent="0.25">
      <c r="A8" s="160">
        <f>5907.34/1200</f>
        <v>4.9227833333333333</v>
      </c>
      <c r="B8" s="143" t="s">
        <v>1</v>
      </c>
      <c r="C8" s="73"/>
      <c r="D8" s="86"/>
      <c r="E8" s="87" t="s">
        <v>155</v>
      </c>
      <c r="F8" s="74"/>
    </row>
    <row r="9" spans="1:6" ht="15.75" thickBot="1" x14ac:dyDescent="0.3">
      <c r="A9" s="82"/>
      <c r="B9" s="144"/>
      <c r="C9" s="70"/>
      <c r="D9" s="262" t="s">
        <v>200</v>
      </c>
      <c r="E9" s="262"/>
      <c r="F9" s="75"/>
    </row>
    <row r="10" spans="1:6" ht="39.75" thickTop="1" thickBot="1" x14ac:dyDescent="0.3">
      <c r="A10" s="83"/>
      <c r="B10" s="88" t="s">
        <v>157</v>
      </c>
      <c r="C10" s="89" t="s">
        <v>158</v>
      </c>
      <c r="D10" s="90" t="s">
        <v>159</v>
      </c>
      <c r="E10" s="91" t="s">
        <v>158</v>
      </c>
      <c r="F10" s="92" t="s">
        <v>160</v>
      </c>
    </row>
    <row r="11" spans="1:6" ht="15.75" thickTop="1" x14ac:dyDescent="0.25">
      <c r="A11" s="93" t="s">
        <v>161</v>
      </c>
      <c r="B11" s="94">
        <f>C8*A8</f>
        <v>0</v>
      </c>
      <c r="C11" s="95">
        <f>151.67*F7/35</f>
        <v>0</v>
      </c>
      <c r="D11" s="96">
        <f>B11*C11/151.67</f>
        <v>0</v>
      </c>
      <c r="E11" s="97"/>
      <c r="F11" s="98"/>
    </row>
    <row r="12" spans="1:6" x14ac:dyDescent="0.25">
      <c r="A12" s="99" t="s">
        <v>163</v>
      </c>
      <c r="B12" s="100">
        <f>IF(B11&lt;1777.12,1777.12-B11,0)</f>
        <v>1777.12</v>
      </c>
      <c r="C12" s="101">
        <f>IF(A11&lt;1466.62,1466.62-A11,0)</f>
        <v>0</v>
      </c>
      <c r="D12" s="102">
        <f>B12*C11/151.67</f>
        <v>0</v>
      </c>
      <c r="E12" s="103"/>
      <c r="F12" s="104"/>
    </row>
    <row r="13" spans="1:6" x14ac:dyDescent="0.25">
      <c r="A13" s="105" t="s">
        <v>201</v>
      </c>
      <c r="B13" s="106">
        <f>D11+D12+D14+D15+D17+D18+D16</f>
        <v>0</v>
      </c>
      <c r="C13" s="107">
        <v>10</v>
      </c>
      <c r="D13" s="108">
        <f>IF(F9="oui",(D11+D12+D14+D15+D17+D18+D16)*0.1,0)</f>
        <v>0</v>
      </c>
      <c r="E13" s="109"/>
      <c r="F13" s="110"/>
    </row>
    <row r="14" spans="1:6" x14ac:dyDescent="0.25">
      <c r="A14" s="105" t="s">
        <v>164</v>
      </c>
      <c r="B14" s="111">
        <f>IF(F8=3,192.07,IF(F8=2,76.98,IF(F8=1,2.29,0)))</f>
        <v>0</v>
      </c>
      <c r="C14" s="107">
        <v>0</v>
      </c>
      <c r="D14" s="108">
        <f>IF(B14=2.29,2.29,B14*C11/151.67)</f>
        <v>0</v>
      </c>
      <c r="E14" s="109"/>
      <c r="F14" s="110"/>
    </row>
    <row r="15" spans="1:6" x14ac:dyDescent="0.25">
      <c r="A15" s="121" t="s">
        <v>166</v>
      </c>
      <c r="B15" s="77">
        <v>0</v>
      </c>
      <c r="C15" s="112"/>
      <c r="D15" s="113">
        <f>B15*C11/151.67</f>
        <v>0</v>
      </c>
      <c r="E15" s="118"/>
      <c r="F15" s="125"/>
    </row>
    <row r="16" spans="1:6" x14ac:dyDescent="0.25">
      <c r="A16" s="93" t="s">
        <v>167</v>
      </c>
      <c r="B16" s="77">
        <v>0</v>
      </c>
      <c r="C16" s="112"/>
      <c r="D16" s="113">
        <f>B16*C11/151.67</f>
        <v>0</v>
      </c>
      <c r="E16" s="118"/>
      <c r="F16" s="125"/>
    </row>
    <row r="17" spans="1:6" x14ac:dyDescent="0.25">
      <c r="A17" s="93" t="s">
        <v>167</v>
      </c>
      <c r="B17" s="78">
        <v>0</v>
      </c>
      <c r="C17" s="114"/>
      <c r="D17" s="113">
        <f>B17*C11/151.67</f>
        <v>0</v>
      </c>
      <c r="E17" s="118"/>
      <c r="F17" s="125"/>
    </row>
    <row r="18" spans="1:6" x14ac:dyDescent="0.25">
      <c r="A18" s="93" t="s">
        <v>168</v>
      </c>
      <c r="B18" s="78">
        <v>0</v>
      </c>
      <c r="C18" s="114"/>
      <c r="D18" s="115">
        <f>B18*C11/151.67</f>
        <v>0</v>
      </c>
      <c r="E18" s="118"/>
      <c r="F18" s="125"/>
    </row>
    <row r="19" spans="1:6" x14ac:dyDescent="0.25">
      <c r="A19" s="122" t="s">
        <v>169</v>
      </c>
      <c r="B19" s="153"/>
      <c r="C19" s="116"/>
      <c r="D19" s="117">
        <f>SUM(D11:D18)</f>
        <v>0</v>
      </c>
      <c r="E19" s="118"/>
      <c r="F19" s="125"/>
    </row>
    <row r="20" spans="1:6" x14ac:dyDescent="0.25">
      <c r="A20" s="93" t="s">
        <v>170</v>
      </c>
      <c r="B20" s="154">
        <f>(SUM(D11:D17)*98.25/100)+$D$18</f>
        <v>0</v>
      </c>
      <c r="C20" s="118">
        <v>6.8000000000000005E-2</v>
      </c>
      <c r="D20" s="115">
        <f>B20*C20</f>
        <v>0</v>
      </c>
      <c r="E20" s="118"/>
      <c r="F20" s="125"/>
    </row>
    <row r="21" spans="1:6" x14ac:dyDescent="0.25">
      <c r="A21" s="93" t="s">
        <v>171</v>
      </c>
      <c r="B21" s="154">
        <f>(SUM(D11:D17)*98.25/100)+$D$18</f>
        <v>0</v>
      </c>
      <c r="C21" s="118">
        <v>2.4E-2</v>
      </c>
      <c r="D21" s="115">
        <f>B21*C21</f>
        <v>0</v>
      </c>
      <c r="E21" s="118"/>
      <c r="F21" s="125"/>
    </row>
    <row r="22" spans="1:6" x14ac:dyDescent="0.25">
      <c r="A22" s="93" t="s">
        <v>172</v>
      </c>
      <c r="B22" s="154">
        <f>(SUM(D11:D17)*98.25/100)+$D$18</f>
        <v>0</v>
      </c>
      <c r="C22" s="118">
        <v>5.0000000000000001E-3</v>
      </c>
      <c r="D22" s="115">
        <f>B22*C22</f>
        <v>0</v>
      </c>
      <c r="E22" s="118"/>
      <c r="F22" s="125"/>
    </row>
    <row r="23" spans="1:6" x14ac:dyDescent="0.25">
      <c r="A23" s="93" t="s">
        <v>173</v>
      </c>
      <c r="B23" s="154">
        <f>D19</f>
        <v>0</v>
      </c>
      <c r="C23" s="118"/>
      <c r="D23" s="115"/>
      <c r="E23" s="126">
        <v>0.13</v>
      </c>
      <c r="F23" s="127">
        <f>B23*E23</f>
        <v>0</v>
      </c>
    </row>
    <row r="24" spans="1:6" x14ac:dyDescent="0.25">
      <c r="A24" s="93" t="s">
        <v>202</v>
      </c>
      <c r="B24" s="154">
        <f>IF(D19&lt;3666,D19,3666)</f>
        <v>0</v>
      </c>
      <c r="C24" s="118">
        <v>6.9000000000000006E-2</v>
      </c>
      <c r="D24" s="115">
        <f>B24*C24</f>
        <v>0</v>
      </c>
      <c r="E24" s="126">
        <v>8.5500000000000007E-2</v>
      </c>
      <c r="F24" s="127">
        <f t="shared" ref="F24:F31" si="0">B24*E24</f>
        <v>0</v>
      </c>
    </row>
    <row r="25" spans="1:6" x14ac:dyDescent="0.25">
      <c r="A25" s="93" t="s">
        <v>174</v>
      </c>
      <c r="B25" s="154">
        <f>D19</f>
        <v>0</v>
      </c>
      <c r="C25" s="114"/>
      <c r="D25" s="115"/>
      <c r="E25" s="126">
        <v>3.0000000000000001E-3</v>
      </c>
      <c r="F25" s="127">
        <f t="shared" si="0"/>
        <v>0</v>
      </c>
    </row>
    <row r="26" spans="1:6" x14ac:dyDescent="0.25">
      <c r="A26" s="93" t="s">
        <v>203</v>
      </c>
      <c r="B26" s="154">
        <f>D19</f>
        <v>0</v>
      </c>
      <c r="C26" s="118">
        <v>4.0000000000000001E-3</v>
      </c>
      <c r="D26" s="115">
        <f>B26*C26</f>
        <v>0</v>
      </c>
      <c r="E26" s="126">
        <v>1.9E-2</v>
      </c>
      <c r="F26" s="127">
        <f t="shared" si="0"/>
        <v>0</v>
      </c>
    </row>
    <row r="27" spans="1:6" x14ac:dyDescent="0.25">
      <c r="A27" s="93" t="s">
        <v>175</v>
      </c>
      <c r="B27" s="154">
        <f>D19</f>
        <v>0</v>
      </c>
      <c r="C27" s="114"/>
      <c r="D27" s="115"/>
      <c r="E27" s="126">
        <v>5.2499999999999998E-2</v>
      </c>
      <c r="F27" s="127">
        <f t="shared" si="0"/>
        <v>0</v>
      </c>
    </row>
    <row r="28" spans="1:6" x14ac:dyDescent="0.25">
      <c r="A28" s="93" t="s">
        <v>176</v>
      </c>
      <c r="B28" s="154">
        <f>D19</f>
        <v>0</v>
      </c>
      <c r="C28" s="114"/>
      <c r="D28" s="115"/>
      <c r="E28" s="128">
        <v>5.0000000000000001E-3</v>
      </c>
      <c r="F28" s="127">
        <f>B28*E28</f>
        <v>0</v>
      </c>
    </row>
    <row r="29" spans="1:6" x14ac:dyDescent="0.25">
      <c r="A29" s="93" t="s">
        <v>204</v>
      </c>
      <c r="B29" s="154">
        <f>D19</f>
        <v>0</v>
      </c>
      <c r="C29" s="114"/>
      <c r="D29" s="115"/>
      <c r="E29" s="128">
        <v>1.12E-2</v>
      </c>
      <c r="F29" s="127">
        <f t="shared" si="0"/>
        <v>0</v>
      </c>
    </row>
    <row r="30" spans="1:6" x14ac:dyDescent="0.25">
      <c r="A30" s="93" t="s">
        <v>205</v>
      </c>
      <c r="B30" s="154">
        <f>D19</f>
        <v>0</v>
      </c>
      <c r="C30" s="114"/>
      <c r="D30" s="115"/>
      <c r="E30" s="128">
        <v>6.0000000000000001E-3</v>
      </c>
      <c r="F30" s="127">
        <f t="shared" si="0"/>
        <v>0</v>
      </c>
    </row>
    <row r="31" spans="1:6" x14ac:dyDescent="0.25">
      <c r="A31" s="93" t="s">
        <v>206</v>
      </c>
      <c r="B31" s="154">
        <f>IF(($D$19-D14)&lt;3666,($D$19-D14),3666)</f>
        <v>0</v>
      </c>
      <c r="C31" s="118">
        <v>2.8000000000000001E-2</v>
      </c>
      <c r="D31" s="115">
        <f>B31*C31</f>
        <v>0</v>
      </c>
      <c r="E31" s="126">
        <v>4.2000000000000003E-2</v>
      </c>
      <c r="F31" s="127">
        <f t="shared" si="0"/>
        <v>0</v>
      </c>
    </row>
    <row r="32" spans="1:6" x14ac:dyDescent="0.25">
      <c r="A32" s="123" t="s">
        <v>207</v>
      </c>
      <c r="B32" s="155">
        <f>IF($D$19&gt;3666,$D$19-3666,0)</f>
        <v>0</v>
      </c>
      <c r="C32" s="119">
        <v>6.9500000000000006E-2</v>
      </c>
      <c r="D32" s="120">
        <f>B32*C32</f>
        <v>0</v>
      </c>
      <c r="E32" s="129">
        <v>0.1255</v>
      </c>
      <c r="F32" s="130">
        <f>B32*E32</f>
        <v>0</v>
      </c>
    </row>
    <row r="33" spans="1:6" x14ac:dyDescent="0.25">
      <c r="A33" s="123" t="s">
        <v>182</v>
      </c>
      <c r="B33" s="155">
        <f>D19</f>
        <v>0</v>
      </c>
      <c r="C33" s="119"/>
      <c r="D33" s="120"/>
      <c r="E33" s="129">
        <v>8.9999999999999993E-3</v>
      </c>
      <c r="F33" s="130">
        <f>B33*E33</f>
        <v>0</v>
      </c>
    </row>
    <row r="34" spans="1:6" x14ac:dyDescent="0.25">
      <c r="A34" s="123" t="s">
        <v>183</v>
      </c>
      <c r="B34" s="155">
        <f>D19</f>
        <v>0</v>
      </c>
      <c r="C34" s="119"/>
      <c r="D34" s="120"/>
      <c r="E34" s="129">
        <v>1E-3</v>
      </c>
      <c r="F34" s="130">
        <f>B34*E34</f>
        <v>0</v>
      </c>
    </row>
    <row r="35" spans="1:6" x14ac:dyDescent="0.25">
      <c r="A35" s="123" t="s">
        <v>181</v>
      </c>
      <c r="B35" s="155">
        <f>D19</f>
        <v>0</v>
      </c>
      <c r="C35" s="119"/>
      <c r="D35" s="120"/>
      <c r="E35" s="129">
        <v>1.7000000000000001E-2</v>
      </c>
      <c r="F35" s="130">
        <f>B35*E35</f>
        <v>0</v>
      </c>
    </row>
    <row r="36" spans="1:6" x14ac:dyDescent="0.25">
      <c r="A36" s="123" t="s">
        <v>208</v>
      </c>
      <c r="B36" s="155">
        <f>D19</f>
        <v>0</v>
      </c>
      <c r="C36" s="119"/>
      <c r="D36" s="120"/>
      <c r="E36" s="129">
        <v>4.0500000000000001E-2</v>
      </c>
      <c r="F36" s="130">
        <f>B36*E36</f>
        <v>0</v>
      </c>
    </row>
    <row r="37" spans="1:6" ht="15.75" thickBot="1" x14ac:dyDescent="0.3">
      <c r="A37" s="124" t="s">
        <v>184</v>
      </c>
      <c r="B37" s="78"/>
      <c r="C37" s="78"/>
      <c r="D37" s="133">
        <f>B37*C37</f>
        <v>0</v>
      </c>
      <c r="E37" s="131"/>
      <c r="F37" s="132"/>
    </row>
    <row r="38" spans="1:6" ht="15.75" thickTop="1" x14ac:dyDescent="0.25">
      <c r="A38" s="83"/>
      <c r="B38" s="145"/>
      <c r="C38" s="146"/>
      <c r="D38" s="145"/>
      <c r="E38" s="147"/>
      <c r="F38" s="148"/>
    </row>
    <row r="39" spans="1:6" ht="15.75" thickBot="1" x14ac:dyDescent="0.3">
      <c r="A39" s="83"/>
      <c r="B39" s="80"/>
      <c r="C39" s="81"/>
      <c r="D39" s="80"/>
      <c r="E39" s="149"/>
      <c r="F39" s="150"/>
    </row>
    <row r="40" spans="1:6" x14ac:dyDescent="0.25">
      <c r="A40" s="83"/>
      <c r="B40" s="80"/>
      <c r="C40" s="241" t="s">
        <v>209</v>
      </c>
      <c r="D40" s="243">
        <f>D19-(D20+D21+D22+D23+D24+D26+D31+D32)-D37</f>
        <v>0</v>
      </c>
      <c r="E40" s="245" t="s">
        <v>186</v>
      </c>
      <c r="F40" s="264">
        <f>SUM(F23:F37)</f>
        <v>0</v>
      </c>
    </row>
    <row r="41" spans="1:6" ht="15.75" thickBot="1" x14ac:dyDescent="0.3">
      <c r="A41" s="83"/>
      <c r="B41" s="80"/>
      <c r="C41" s="263"/>
      <c r="D41" s="244"/>
      <c r="E41" s="246"/>
      <c r="F41" s="265"/>
    </row>
    <row r="42" spans="1:6" x14ac:dyDescent="0.25">
      <c r="A42" s="83"/>
      <c r="B42" s="80"/>
      <c r="C42" s="134"/>
      <c r="D42" s="135"/>
      <c r="E42" s="136"/>
      <c r="F42" s="137"/>
    </row>
    <row r="43" spans="1:6" x14ac:dyDescent="0.25">
      <c r="A43" s="83"/>
      <c r="B43" s="80"/>
      <c r="C43" s="134"/>
      <c r="D43" s="249" t="s">
        <v>187</v>
      </c>
      <c r="E43" s="249"/>
      <c r="F43" s="252"/>
    </row>
    <row r="44" spans="1:6" x14ac:dyDescent="0.25">
      <c r="A44" s="83"/>
      <c r="B44" s="80"/>
      <c r="C44" s="134"/>
      <c r="D44" s="138" t="s">
        <v>188</v>
      </c>
      <c r="E44" s="139" t="s">
        <v>189</v>
      </c>
      <c r="F44" s="138" t="s">
        <v>190</v>
      </c>
    </row>
    <row r="45" spans="1:6" x14ac:dyDescent="0.25">
      <c r="A45" s="151"/>
      <c r="B45" s="152"/>
      <c r="C45" s="140"/>
      <c r="D45" s="141">
        <f>D19</f>
        <v>0</v>
      </c>
      <c r="E45" s="142">
        <f>F40</f>
        <v>0</v>
      </c>
      <c r="F45" s="142">
        <f>+E45+D45</f>
        <v>0</v>
      </c>
    </row>
  </sheetData>
  <sheetProtection algorithmName="SHA-512" hashValue="FcjSOd6hHjN72NeW9kYL78rLoV9cIMEH0p1wgEq59IH7ojqOwcpeh8MvQK/zNR6Huqdi2BLj0WtY1ghk1UtK4Q==" saltValue="BB8YftBzbRvPeiT9wqCTLA==" spinCount="100000" sheet="1" objects="1" scenarios="1" selectLockedCells="1"/>
  <mergeCells count="10">
    <mergeCell ref="D43:F43"/>
    <mergeCell ref="A1:F2"/>
    <mergeCell ref="A3:F3"/>
    <mergeCell ref="A4:F5"/>
    <mergeCell ref="D6:F6"/>
    <mergeCell ref="D9:E9"/>
    <mergeCell ref="C40:C41"/>
    <mergeCell ref="D40:D41"/>
    <mergeCell ref="E40:E41"/>
    <mergeCell ref="F40:F41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0.79998168889431442"/>
  </sheetPr>
  <dimension ref="A1:O121"/>
  <sheetViews>
    <sheetView showGridLines="0" zoomScaleNormal="100" workbookViewId="0">
      <pane ySplit="2" topLeftCell="A3" activePane="bottomLeft" state="frozen"/>
      <selection pane="bottomLeft" activeCell="G27" sqref="G27"/>
    </sheetView>
  </sheetViews>
  <sheetFormatPr baseColWidth="10" defaultRowHeight="15" x14ac:dyDescent="0.25"/>
  <cols>
    <col min="1" max="6" width="11.42578125" style="1"/>
    <col min="7" max="7" width="12.5703125" style="1" customWidth="1"/>
    <col min="8" max="16384" width="11.42578125" style="1"/>
  </cols>
  <sheetData>
    <row r="1" spans="1:15" x14ac:dyDescent="0.25">
      <c r="A1" s="266" t="s">
        <v>149</v>
      </c>
      <c r="B1" s="266"/>
      <c r="C1" s="266"/>
      <c r="D1" s="266"/>
      <c r="E1" s="270" t="s">
        <v>51</v>
      </c>
      <c r="F1" s="270"/>
      <c r="G1" s="270"/>
    </row>
    <row r="2" spans="1:15" x14ac:dyDescent="0.25">
      <c r="A2" s="267" t="s">
        <v>47</v>
      </c>
      <c r="B2" s="267"/>
      <c r="C2" s="267"/>
      <c r="D2" s="267"/>
      <c r="E2" s="66">
        <v>4.9227800000000004</v>
      </c>
      <c r="F2" s="67" t="s">
        <v>8</v>
      </c>
      <c r="G2" s="67"/>
      <c r="H2" s="16"/>
      <c r="I2" s="11"/>
      <c r="J2" s="11"/>
    </row>
    <row r="3" spans="1:15" x14ac:dyDescent="0.25">
      <c r="C3" s="1">
        <v>5</v>
      </c>
      <c r="E3" s="3"/>
      <c r="F3" s="3"/>
    </row>
    <row r="4" spans="1:15" ht="25.5" x14ac:dyDescent="0.25">
      <c r="A4" s="30" t="s">
        <v>17</v>
      </c>
      <c r="B4" s="5" t="s">
        <v>0</v>
      </c>
      <c r="C4" s="65" t="s">
        <v>1</v>
      </c>
      <c r="D4" s="5" t="s">
        <v>2</v>
      </c>
      <c r="E4" s="12" t="s">
        <v>7</v>
      </c>
      <c r="F4" s="55" t="s">
        <v>150</v>
      </c>
      <c r="G4" s="24" t="s">
        <v>9</v>
      </c>
      <c r="H4" s="17"/>
      <c r="I4" s="17"/>
      <c r="J4" s="17"/>
      <c r="K4" s="17"/>
    </row>
    <row r="5" spans="1:15" x14ac:dyDescent="0.25">
      <c r="A5" s="30">
        <v>1</v>
      </c>
      <c r="B5" s="4">
        <v>367</v>
      </c>
      <c r="C5" s="65">
        <f>361+5</f>
        <v>366</v>
      </c>
      <c r="D5" s="4" t="s">
        <v>3</v>
      </c>
      <c r="E5" s="14">
        <f>C5*E2</f>
        <v>1801.7374800000002</v>
      </c>
      <c r="F5" s="52">
        <f>E5*85%</f>
        <v>1531.4768580000002</v>
      </c>
      <c r="G5" s="9" t="s">
        <v>10</v>
      </c>
      <c r="H5" s="24"/>
      <c r="I5" s="24"/>
      <c r="J5" s="24"/>
      <c r="K5" s="24"/>
      <c r="L5"/>
    </row>
    <row r="6" spans="1:15" x14ac:dyDescent="0.25">
      <c r="A6" s="30">
        <v>2</v>
      </c>
      <c r="B6" s="4">
        <v>368</v>
      </c>
      <c r="C6" s="65">
        <f>362+5</f>
        <v>367</v>
      </c>
      <c r="D6" s="4" t="s">
        <v>3</v>
      </c>
      <c r="E6" s="14">
        <f>C6*E2</f>
        <v>1806.6602600000001</v>
      </c>
      <c r="F6" s="52">
        <f t="shared" ref="F6:F15" si="0">E6*85%</f>
        <v>1535.6612210000001</v>
      </c>
      <c r="G6" s="9" t="s">
        <v>11</v>
      </c>
      <c r="H6" s="9"/>
      <c r="I6" s="9"/>
      <c r="J6" s="9"/>
      <c r="K6" s="9"/>
      <c r="L6" s="9"/>
    </row>
    <row r="7" spans="1:15" x14ac:dyDescent="0.25">
      <c r="A7" s="30">
        <v>3</v>
      </c>
      <c r="B7" s="4">
        <v>370</v>
      </c>
      <c r="C7" s="65">
        <f>363+5</f>
        <v>368</v>
      </c>
      <c r="D7" s="4" t="s">
        <v>3</v>
      </c>
      <c r="E7" s="14">
        <f>C7*E2</f>
        <v>1811.5830400000002</v>
      </c>
      <c r="F7" s="52">
        <f t="shared" si="0"/>
        <v>1539.8455840000001</v>
      </c>
      <c r="G7" s="9" t="s">
        <v>12</v>
      </c>
      <c r="H7" s="9"/>
      <c r="I7" s="9"/>
      <c r="J7" s="9"/>
      <c r="K7" s="9"/>
      <c r="L7" s="9"/>
    </row>
    <row r="8" spans="1:15" x14ac:dyDescent="0.25">
      <c r="A8" s="30">
        <v>4</v>
      </c>
      <c r="B8" s="4">
        <v>371</v>
      </c>
      <c r="C8" s="65">
        <f>364+5</f>
        <v>369</v>
      </c>
      <c r="D8" s="4" t="s">
        <v>3</v>
      </c>
      <c r="E8" s="14">
        <f>C8*E2</f>
        <v>1816.5058200000001</v>
      </c>
      <c r="F8" s="52">
        <f t="shared" si="0"/>
        <v>1544.029947</v>
      </c>
      <c r="G8" s="9" t="s">
        <v>13</v>
      </c>
      <c r="H8" s="9"/>
      <c r="I8" s="9"/>
      <c r="J8" s="9"/>
      <c r="K8" s="9"/>
      <c r="L8" s="9"/>
    </row>
    <row r="9" spans="1:15" x14ac:dyDescent="0.25">
      <c r="A9" s="30">
        <v>5</v>
      </c>
      <c r="B9" s="4">
        <v>374</v>
      </c>
      <c r="C9" s="65">
        <f>365+5</f>
        <v>370</v>
      </c>
      <c r="D9" s="4" t="s">
        <v>3</v>
      </c>
      <c r="E9" s="14">
        <f>C9*E2</f>
        <v>1821.4286000000002</v>
      </c>
      <c r="F9" s="52">
        <f t="shared" si="0"/>
        <v>1548.2143100000001</v>
      </c>
      <c r="G9" s="9" t="s">
        <v>14</v>
      </c>
      <c r="H9" s="9"/>
      <c r="I9" s="9"/>
      <c r="J9" s="9"/>
      <c r="K9" s="9"/>
      <c r="L9" s="9"/>
      <c r="O9" s="46"/>
    </row>
    <row r="10" spans="1:15" x14ac:dyDescent="0.25">
      <c r="A10" s="30">
        <v>6</v>
      </c>
      <c r="B10" s="4">
        <v>378</v>
      </c>
      <c r="C10" s="65">
        <f>366+5</f>
        <v>371</v>
      </c>
      <c r="D10" s="4" t="s">
        <v>3</v>
      </c>
      <c r="E10" s="14">
        <f>C10*E2</f>
        <v>1826.3513800000001</v>
      </c>
      <c r="F10" s="52">
        <f t="shared" si="0"/>
        <v>1552.3986729999999</v>
      </c>
      <c r="G10" s="9" t="s">
        <v>15</v>
      </c>
      <c r="H10" s="9"/>
      <c r="I10" s="9"/>
      <c r="J10" s="9"/>
      <c r="K10" s="9"/>
      <c r="L10" s="9"/>
      <c r="O10" s="46"/>
    </row>
    <row r="11" spans="1:15" x14ac:dyDescent="0.25">
      <c r="A11" s="30">
        <v>7</v>
      </c>
      <c r="B11" s="4">
        <v>381</v>
      </c>
      <c r="C11" s="65">
        <f>367+5</f>
        <v>372</v>
      </c>
      <c r="D11" s="4" t="s">
        <v>4</v>
      </c>
      <c r="E11" s="14">
        <f>C11*E2</f>
        <v>1831.2741600000002</v>
      </c>
      <c r="F11" s="52">
        <f t="shared" si="0"/>
        <v>1556.583036</v>
      </c>
      <c r="G11" s="9" t="s">
        <v>16</v>
      </c>
      <c r="H11" s="9"/>
      <c r="I11" s="9"/>
      <c r="J11" s="9"/>
      <c r="K11" s="9"/>
      <c r="L11" s="9"/>
    </row>
    <row r="12" spans="1:15" ht="15" customHeight="1" x14ac:dyDescent="0.25">
      <c r="A12" s="30">
        <v>8</v>
      </c>
      <c r="B12" s="4">
        <v>387</v>
      </c>
      <c r="C12" s="65">
        <f>368+5</f>
        <v>373</v>
      </c>
      <c r="D12" s="4" t="s">
        <v>4</v>
      </c>
      <c r="E12" s="14">
        <f>C12*E2</f>
        <v>1836.19694</v>
      </c>
      <c r="F12" s="52">
        <f t="shared" si="0"/>
        <v>1560.7673990000001</v>
      </c>
      <c r="G12" s="9"/>
      <c r="H12" s="9"/>
      <c r="I12" s="9"/>
      <c r="J12" s="9"/>
      <c r="K12" s="9"/>
      <c r="L12" s="9"/>
    </row>
    <row r="13" spans="1:15" x14ac:dyDescent="0.25">
      <c r="A13" s="30">
        <v>9</v>
      </c>
      <c r="B13" s="4">
        <v>401</v>
      </c>
      <c r="C13" s="65">
        <f>371+5</f>
        <v>376</v>
      </c>
      <c r="D13" s="4" t="s">
        <v>4</v>
      </c>
      <c r="E13" s="14">
        <f>C13*E2</f>
        <v>1850.9652800000001</v>
      </c>
      <c r="F13" s="52">
        <f t="shared" si="0"/>
        <v>1573.3204880000001</v>
      </c>
      <c r="G13" s="17"/>
      <c r="H13" s="9"/>
      <c r="I13" s="9"/>
      <c r="J13" s="9"/>
      <c r="K13" s="9"/>
      <c r="L13" s="9"/>
    </row>
    <row r="14" spans="1:15" x14ac:dyDescent="0.25">
      <c r="A14" s="30">
        <v>10</v>
      </c>
      <c r="B14" s="4">
        <v>419</v>
      </c>
      <c r="C14" s="65">
        <f>372+5</f>
        <v>377</v>
      </c>
      <c r="D14" s="4" t="s">
        <v>5</v>
      </c>
      <c r="E14" s="14">
        <f>C14*E2</f>
        <v>1855.8880600000002</v>
      </c>
      <c r="F14" s="52">
        <f t="shared" si="0"/>
        <v>1577.5048510000001</v>
      </c>
      <c r="G14" s="7"/>
      <c r="H14" s="17"/>
      <c r="I14" s="17"/>
      <c r="J14" s="17"/>
      <c r="K14" s="17"/>
    </row>
    <row r="15" spans="1:15" x14ac:dyDescent="0.25">
      <c r="A15" s="30">
        <v>11</v>
      </c>
      <c r="B15" s="4">
        <v>432</v>
      </c>
      <c r="C15" s="65">
        <f>382+5</f>
        <v>387</v>
      </c>
      <c r="D15" s="4" t="s">
        <v>6</v>
      </c>
      <c r="E15" s="14">
        <f>C15*E2</f>
        <v>1905.1158600000001</v>
      </c>
      <c r="F15" s="52">
        <f t="shared" si="0"/>
        <v>1619.348481</v>
      </c>
      <c r="G15" s="17"/>
      <c r="H15" s="17"/>
      <c r="I15" s="17"/>
      <c r="J15" s="17"/>
      <c r="K15" s="17"/>
    </row>
    <row r="16" spans="1:15" x14ac:dyDescent="0.25">
      <c r="A16" s="18"/>
      <c r="B16" s="19"/>
      <c r="C16" s="20"/>
      <c r="D16" s="19"/>
      <c r="E16" s="25"/>
      <c r="F16" s="47"/>
      <c r="G16" s="17"/>
      <c r="H16" s="17"/>
      <c r="I16" s="17"/>
      <c r="J16" s="17"/>
      <c r="K16" s="17"/>
    </row>
    <row r="17" spans="1:12" x14ac:dyDescent="0.25">
      <c r="A17" s="18"/>
      <c r="B17" s="19"/>
      <c r="C17" s="20"/>
      <c r="D17" s="19"/>
      <c r="E17" s="25"/>
      <c r="F17" s="47"/>
      <c r="G17" s="17"/>
      <c r="H17" s="17"/>
      <c r="I17" s="17"/>
      <c r="J17" s="17"/>
      <c r="K17" s="17"/>
    </row>
    <row r="18" spans="1:12" x14ac:dyDescent="0.25">
      <c r="E18" s="13"/>
      <c r="F18" s="48"/>
    </row>
    <row r="19" spans="1:12" ht="25.5" x14ac:dyDescent="0.25">
      <c r="A19" s="30" t="s">
        <v>19</v>
      </c>
      <c r="B19" s="5" t="s">
        <v>0</v>
      </c>
      <c r="C19" s="65" t="s">
        <v>1</v>
      </c>
      <c r="D19" s="5" t="s">
        <v>2</v>
      </c>
      <c r="E19" s="12" t="s">
        <v>7</v>
      </c>
      <c r="F19" s="55" t="s">
        <v>150</v>
      </c>
      <c r="G19" s="268" t="s">
        <v>20</v>
      </c>
      <c r="H19" s="268"/>
      <c r="I19" s="268"/>
      <c r="J19" s="268"/>
      <c r="K19" s="24"/>
      <c r="L19" s="17"/>
    </row>
    <row r="20" spans="1:12" x14ac:dyDescent="0.25">
      <c r="A20" s="30">
        <v>1</v>
      </c>
      <c r="B20" s="4">
        <v>368</v>
      </c>
      <c r="C20" s="65">
        <f>362+5</f>
        <v>367</v>
      </c>
      <c r="D20" s="4" t="s">
        <v>3</v>
      </c>
      <c r="E20" s="15">
        <f>C20*E2</f>
        <v>1806.6602600000001</v>
      </c>
      <c r="F20" s="53">
        <f>E20*85%</f>
        <v>1535.6612210000001</v>
      </c>
      <c r="G20" s="8" t="s">
        <v>21</v>
      </c>
      <c r="H20" s="39"/>
      <c r="I20" s="39"/>
      <c r="J20" s="39"/>
      <c r="K20" s="17"/>
      <c r="L20" s="17"/>
    </row>
    <row r="21" spans="1:12" ht="15" customHeight="1" x14ac:dyDescent="0.25">
      <c r="A21" s="30">
        <v>2</v>
      </c>
      <c r="B21" s="4">
        <v>371</v>
      </c>
      <c r="C21" s="65">
        <f>364+5</f>
        <v>369</v>
      </c>
      <c r="D21" s="4" t="s">
        <v>3</v>
      </c>
      <c r="E21" s="15">
        <f>C21*E2</f>
        <v>1816.5058200000001</v>
      </c>
      <c r="F21" s="53">
        <f t="shared" ref="F21:F31" si="1">E21*85%</f>
        <v>1544.029947</v>
      </c>
      <c r="G21" s="8" t="s">
        <v>22</v>
      </c>
      <c r="H21" s="39"/>
      <c r="I21" s="39"/>
      <c r="J21" s="39"/>
      <c r="K21" s="17"/>
      <c r="L21" s="17"/>
    </row>
    <row r="22" spans="1:12" ht="15" customHeight="1" x14ac:dyDescent="0.25">
      <c r="A22" s="30">
        <v>3</v>
      </c>
      <c r="B22" s="4">
        <v>376</v>
      </c>
      <c r="C22" s="65">
        <f>365+5</f>
        <v>370</v>
      </c>
      <c r="D22" s="4" t="s">
        <v>3</v>
      </c>
      <c r="E22" s="15">
        <f>C22*E2</f>
        <v>1821.4286000000002</v>
      </c>
      <c r="F22" s="53">
        <f t="shared" si="1"/>
        <v>1548.2143100000001</v>
      </c>
      <c r="G22" s="8" t="s">
        <v>23</v>
      </c>
      <c r="H22" s="8"/>
      <c r="I22" s="8"/>
      <c r="J22" s="8"/>
      <c r="K22" s="17"/>
      <c r="L22" s="17"/>
    </row>
    <row r="23" spans="1:12" ht="15" customHeight="1" x14ac:dyDescent="0.25">
      <c r="A23" s="30">
        <v>4</v>
      </c>
      <c r="B23" s="4">
        <v>387</v>
      </c>
      <c r="C23" s="65">
        <f>368+5</f>
        <v>373</v>
      </c>
      <c r="D23" s="4" t="s">
        <v>3</v>
      </c>
      <c r="E23" s="15">
        <f>C23*E2</f>
        <v>1836.19694</v>
      </c>
      <c r="F23" s="53">
        <f t="shared" si="1"/>
        <v>1560.7673990000001</v>
      </c>
      <c r="G23" s="8" t="s">
        <v>24</v>
      </c>
      <c r="H23" s="8"/>
      <c r="I23" s="8"/>
      <c r="J23" s="8"/>
      <c r="K23" s="17"/>
      <c r="L23" s="17"/>
    </row>
    <row r="24" spans="1:12" ht="15" customHeight="1" x14ac:dyDescent="0.25">
      <c r="A24" s="30">
        <v>5</v>
      </c>
      <c r="B24" s="4">
        <v>396</v>
      </c>
      <c r="C24" s="65">
        <f>369+5</f>
        <v>374</v>
      </c>
      <c r="D24" s="4" t="s">
        <v>3</v>
      </c>
      <c r="E24" s="15">
        <f>C24*E2</f>
        <v>1841.1197200000001</v>
      </c>
      <c r="F24" s="53">
        <f t="shared" si="1"/>
        <v>1564.9517620000001</v>
      </c>
      <c r="G24" s="8" t="s">
        <v>25</v>
      </c>
      <c r="H24" s="8"/>
      <c r="I24" s="8"/>
      <c r="J24" s="8"/>
      <c r="K24" s="17"/>
      <c r="L24" s="17"/>
    </row>
    <row r="25" spans="1:12" ht="15" customHeight="1" x14ac:dyDescent="0.25">
      <c r="A25" s="30">
        <v>6</v>
      </c>
      <c r="B25" s="4">
        <v>404</v>
      </c>
      <c r="C25" s="65">
        <f>371+5</f>
        <v>376</v>
      </c>
      <c r="D25" s="4" t="s">
        <v>3</v>
      </c>
      <c r="E25" s="15">
        <f>C25*E2</f>
        <v>1850.9652800000001</v>
      </c>
      <c r="F25" s="53">
        <f t="shared" si="1"/>
        <v>1573.3204880000001</v>
      </c>
      <c r="G25" s="8" t="s">
        <v>26</v>
      </c>
      <c r="H25" s="8"/>
      <c r="I25" s="8"/>
      <c r="J25" s="8"/>
      <c r="K25" s="17"/>
      <c r="L25" s="17"/>
    </row>
    <row r="26" spans="1:12" x14ac:dyDescent="0.25">
      <c r="A26" s="30">
        <v>7</v>
      </c>
      <c r="B26" s="4">
        <v>416</v>
      </c>
      <c r="C26" s="65">
        <f>372+5</f>
        <v>377</v>
      </c>
      <c r="D26" s="4" t="s">
        <v>18</v>
      </c>
      <c r="E26" s="15">
        <f>C26*E2</f>
        <v>1855.8880600000002</v>
      </c>
      <c r="F26" s="53">
        <f t="shared" si="1"/>
        <v>1577.5048510000001</v>
      </c>
      <c r="G26" s="8" t="s">
        <v>27</v>
      </c>
      <c r="H26" s="8"/>
      <c r="I26" s="8"/>
      <c r="J26" s="8"/>
      <c r="K26" s="17"/>
      <c r="L26" s="17"/>
    </row>
    <row r="27" spans="1:12" ht="15" customHeight="1" x14ac:dyDescent="0.25">
      <c r="A27" s="30">
        <v>8</v>
      </c>
      <c r="B27" s="4">
        <v>430</v>
      </c>
      <c r="C27" s="65">
        <f>380+5</f>
        <v>385</v>
      </c>
      <c r="D27" s="4" t="s">
        <v>18</v>
      </c>
      <c r="E27" s="15">
        <f>C27*E2</f>
        <v>1895.2703000000001</v>
      </c>
      <c r="F27" s="53">
        <f t="shared" si="1"/>
        <v>1610.9797550000001</v>
      </c>
      <c r="G27" s="8" t="s">
        <v>28</v>
      </c>
      <c r="H27" s="8"/>
      <c r="I27" s="8"/>
      <c r="J27" s="8"/>
      <c r="K27" s="17"/>
      <c r="L27" s="17"/>
    </row>
    <row r="28" spans="1:12" ht="15" customHeight="1" x14ac:dyDescent="0.25">
      <c r="A28" s="30">
        <v>9</v>
      </c>
      <c r="B28" s="4">
        <v>446</v>
      </c>
      <c r="C28" s="65">
        <f>392+5</f>
        <v>397</v>
      </c>
      <c r="D28" s="4" t="s">
        <v>4</v>
      </c>
      <c r="E28" s="15">
        <f>C28*E2</f>
        <v>1954.3436600000002</v>
      </c>
      <c r="F28" s="53">
        <f t="shared" si="1"/>
        <v>1661.1921110000001</v>
      </c>
      <c r="G28" s="8" t="s">
        <v>29</v>
      </c>
      <c r="H28" s="8"/>
      <c r="I28" s="8"/>
      <c r="J28" s="8"/>
      <c r="K28" s="17"/>
      <c r="L28" s="17"/>
    </row>
    <row r="29" spans="1:12" x14ac:dyDescent="0.25">
      <c r="A29" s="30">
        <v>10</v>
      </c>
      <c r="B29" s="4">
        <v>461</v>
      </c>
      <c r="C29" s="65">
        <f>404+5</f>
        <v>409</v>
      </c>
      <c r="D29" s="4" t="s">
        <v>4</v>
      </c>
      <c r="E29" s="15">
        <f>C29*E2</f>
        <v>2013.4170200000001</v>
      </c>
      <c r="F29" s="53">
        <f t="shared" si="1"/>
        <v>1711.4044670000001</v>
      </c>
      <c r="G29" s="17"/>
      <c r="H29" s="17"/>
      <c r="I29" s="17"/>
      <c r="J29" s="17"/>
      <c r="K29" s="17"/>
      <c r="L29" s="17"/>
    </row>
    <row r="30" spans="1:12" x14ac:dyDescent="0.25">
      <c r="A30" s="30">
        <v>11</v>
      </c>
      <c r="B30" s="4">
        <v>473</v>
      </c>
      <c r="C30" s="65">
        <f>412+5</f>
        <v>417</v>
      </c>
      <c r="D30" s="4" t="s">
        <v>5</v>
      </c>
      <c r="E30" s="15">
        <f>C30*E2</f>
        <v>2052.7992600000002</v>
      </c>
      <c r="F30" s="53">
        <f t="shared" si="1"/>
        <v>1744.8793710000002</v>
      </c>
      <c r="G30" s="17"/>
      <c r="H30" s="17"/>
      <c r="I30" s="17"/>
      <c r="J30" s="17"/>
      <c r="K30" s="17"/>
      <c r="L30" s="17"/>
    </row>
    <row r="31" spans="1:12" ht="15" customHeight="1" x14ac:dyDescent="0.25">
      <c r="A31" s="30">
        <v>12</v>
      </c>
      <c r="B31" s="4">
        <v>486</v>
      </c>
      <c r="C31" s="65">
        <f>420+5</f>
        <v>425</v>
      </c>
      <c r="D31" s="4" t="s">
        <v>6</v>
      </c>
      <c r="E31" s="15">
        <f>C31*E2</f>
        <v>2092.1815000000001</v>
      </c>
      <c r="F31" s="53">
        <f t="shared" si="1"/>
        <v>1778.3542750000001</v>
      </c>
      <c r="G31" s="8"/>
      <c r="H31" s="42"/>
      <c r="I31" s="8"/>
      <c r="J31" s="8"/>
      <c r="K31" s="8"/>
      <c r="L31" s="17"/>
    </row>
    <row r="32" spans="1:12" ht="15" customHeight="1" x14ac:dyDescent="0.25">
      <c r="A32" s="18"/>
      <c r="B32" s="19"/>
      <c r="C32" s="20"/>
      <c r="D32" s="19"/>
      <c r="E32" s="21"/>
      <c r="F32" s="50"/>
      <c r="G32" s="6"/>
      <c r="H32" s="10"/>
      <c r="I32" s="6"/>
      <c r="J32" s="6"/>
      <c r="K32" s="6"/>
    </row>
    <row r="33" spans="1:13" s="22" customFormat="1" ht="15" customHeight="1" x14ac:dyDescent="0.25">
      <c r="A33" s="18"/>
      <c r="B33" s="19"/>
      <c r="C33" s="20"/>
      <c r="D33" s="19"/>
      <c r="F33" s="51"/>
    </row>
    <row r="34" spans="1:13" x14ac:dyDescent="0.25">
      <c r="F34" s="48"/>
    </row>
    <row r="35" spans="1:13" ht="25.5" x14ac:dyDescent="0.25">
      <c r="A35" s="30" t="s">
        <v>30</v>
      </c>
      <c r="B35" s="4" t="s">
        <v>0</v>
      </c>
      <c r="C35" s="65" t="s">
        <v>1</v>
      </c>
      <c r="D35" s="4" t="s">
        <v>2</v>
      </c>
      <c r="E35" s="26" t="s">
        <v>7</v>
      </c>
      <c r="F35" s="55" t="s">
        <v>150</v>
      </c>
      <c r="G35" s="21"/>
      <c r="H35" s="39" t="s">
        <v>31</v>
      </c>
      <c r="I35" s="8"/>
      <c r="J35" s="8"/>
      <c r="K35" s="17"/>
      <c r="L35" s="17"/>
    </row>
    <row r="36" spans="1:13" x14ac:dyDescent="0.25">
      <c r="A36" s="30">
        <v>1</v>
      </c>
      <c r="B36" s="4">
        <v>388</v>
      </c>
      <c r="C36" s="65">
        <f>368+5</f>
        <v>373</v>
      </c>
      <c r="D36" s="4" t="s">
        <v>3</v>
      </c>
      <c r="E36" s="27">
        <f>C36*E2</f>
        <v>1836.19694</v>
      </c>
      <c r="F36" s="53">
        <f>E36*85%</f>
        <v>1560.7673990000001</v>
      </c>
      <c r="G36" s="23" t="s">
        <v>32</v>
      </c>
      <c r="H36" s="39"/>
      <c r="I36" s="39"/>
      <c r="J36" s="39"/>
      <c r="K36" s="19"/>
      <c r="L36" s="19"/>
      <c r="M36" s="22"/>
    </row>
    <row r="37" spans="1:13" x14ac:dyDescent="0.25">
      <c r="A37" s="30">
        <v>2</v>
      </c>
      <c r="B37" s="4">
        <v>397</v>
      </c>
      <c r="C37" s="65">
        <f>370+5</f>
        <v>375</v>
      </c>
      <c r="D37" s="4" t="s">
        <v>3</v>
      </c>
      <c r="E37" s="27">
        <f>C37*E2</f>
        <v>1846.0425000000002</v>
      </c>
      <c r="F37" s="53">
        <f t="shared" ref="F37:F45" si="2">E37*85%</f>
        <v>1569.1361250000002</v>
      </c>
      <c r="G37" s="23" t="s">
        <v>33</v>
      </c>
      <c r="H37" s="39"/>
      <c r="I37" s="17"/>
      <c r="J37" s="39"/>
      <c r="K37" s="17"/>
      <c r="L37" s="17"/>
    </row>
    <row r="38" spans="1:13" x14ac:dyDescent="0.25">
      <c r="A38" s="30">
        <v>3</v>
      </c>
      <c r="B38" s="4">
        <v>412</v>
      </c>
      <c r="C38" s="65">
        <f>371+5</f>
        <v>376</v>
      </c>
      <c r="D38" s="4" t="s">
        <v>18</v>
      </c>
      <c r="E38" s="27">
        <f>C38*E2</f>
        <v>1850.9652800000001</v>
      </c>
      <c r="F38" s="53">
        <f t="shared" si="2"/>
        <v>1573.3204880000001</v>
      </c>
      <c r="G38" s="23" t="s">
        <v>34</v>
      </c>
      <c r="H38" s="39"/>
      <c r="I38" s="39"/>
      <c r="J38" s="39"/>
      <c r="K38" s="39"/>
      <c r="L38" s="17"/>
      <c r="M38" s="17"/>
    </row>
    <row r="39" spans="1:13" x14ac:dyDescent="0.25">
      <c r="A39" s="30">
        <v>4</v>
      </c>
      <c r="B39" s="4">
        <v>430</v>
      </c>
      <c r="C39" s="65">
        <f>380+5</f>
        <v>385</v>
      </c>
      <c r="D39" s="4" t="s">
        <v>18</v>
      </c>
      <c r="E39" s="27">
        <f>C39*E2</f>
        <v>1895.2703000000001</v>
      </c>
      <c r="F39" s="53">
        <f t="shared" si="2"/>
        <v>1610.9797550000001</v>
      </c>
      <c r="G39" s="23" t="s">
        <v>35</v>
      </c>
      <c r="H39" s="23"/>
      <c r="I39" s="23"/>
      <c r="J39" s="23"/>
      <c r="K39" s="23"/>
      <c r="L39" s="23"/>
      <c r="M39" s="17"/>
    </row>
    <row r="40" spans="1:13" x14ac:dyDescent="0.25">
      <c r="A40" s="30">
        <v>5</v>
      </c>
      <c r="B40" s="4">
        <v>448</v>
      </c>
      <c r="C40" s="65">
        <f>393+5</f>
        <v>398</v>
      </c>
      <c r="D40" s="4" t="s">
        <v>18</v>
      </c>
      <c r="E40" s="27">
        <f>C40*E2</f>
        <v>1959.2664400000001</v>
      </c>
      <c r="F40" s="53">
        <f t="shared" si="2"/>
        <v>1665.3764740000001</v>
      </c>
      <c r="G40" s="23" t="s">
        <v>36</v>
      </c>
      <c r="H40" s="23"/>
      <c r="I40" s="23"/>
      <c r="J40" s="23"/>
      <c r="K40" s="23"/>
      <c r="L40" s="23"/>
      <c r="M40" s="17"/>
    </row>
    <row r="41" spans="1:13" x14ac:dyDescent="0.25">
      <c r="A41" s="30">
        <v>6</v>
      </c>
      <c r="B41" s="4">
        <v>460</v>
      </c>
      <c r="C41" s="65">
        <f>403+5</f>
        <v>408</v>
      </c>
      <c r="D41" s="4" t="s">
        <v>18</v>
      </c>
      <c r="E41" s="27">
        <f>C41*E2</f>
        <v>2008.4942400000002</v>
      </c>
      <c r="F41" s="53">
        <f t="shared" si="2"/>
        <v>1707.2201040000002</v>
      </c>
      <c r="G41" s="23" t="s">
        <v>37</v>
      </c>
      <c r="H41" s="23"/>
      <c r="I41" s="23"/>
      <c r="J41" s="23"/>
      <c r="K41" s="23"/>
      <c r="L41" s="23"/>
      <c r="M41" s="17"/>
    </row>
    <row r="42" spans="1:13" x14ac:dyDescent="0.25">
      <c r="A42" s="30">
        <v>7</v>
      </c>
      <c r="B42" s="4">
        <v>478</v>
      </c>
      <c r="C42" s="65">
        <f>415+5</f>
        <v>420</v>
      </c>
      <c r="D42" s="4" t="s">
        <v>4</v>
      </c>
      <c r="E42" s="27">
        <f>C42*E2</f>
        <v>2067.5676000000003</v>
      </c>
      <c r="F42" s="53">
        <f t="shared" si="2"/>
        <v>1757.4324600000002</v>
      </c>
      <c r="G42" s="23" t="s">
        <v>38</v>
      </c>
      <c r="H42" s="23"/>
      <c r="I42" s="23"/>
      <c r="J42" s="23"/>
      <c r="K42" s="23"/>
      <c r="L42" s="23"/>
      <c r="M42" s="17"/>
    </row>
    <row r="43" spans="1:13" x14ac:dyDescent="0.25">
      <c r="A43" s="30">
        <v>8</v>
      </c>
      <c r="B43" s="4">
        <v>499</v>
      </c>
      <c r="C43" s="65">
        <f>430+5</f>
        <v>435</v>
      </c>
      <c r="D43" s="4" t="s">
        <v>4</v>
      </c>
      <c r="E43" s="27">
        <f>C43*E2</f>
        <v>2141.4093000000003</v>
      </c>
      <c r="F43" s="53">
        <f t="shared" si="2"/>
        <v>1820.1979050000002</v>
      </c>
      <c r="G43" s="23" t="s">
        <v>39</v>
      </c>
      <c r="H43" s="23"/>
      <c r="I43" s="23"/>
      <c r="J43" s="23"/>
      <c r="K43" s="23"/>
      <c r="L43" s="23"/>
      <c r="M43" s="17"/>
    </row>
    <row r="44" spans="1:13" x14ac:dyDescent="0.25">
      <c r="A44" s="30">
        <v>9</v>
      </c>
      <c r="B44" s="4">
        <v>525</v>
      </c>
      <c r="C44" s="65">
        <f>450+5</f>
        <v>455</v>
      </c>
      <c r="D44" s="4" t="s">
        <v>4</v>
      </c>
      <c r="E44" s="27">
        <f>C44*E2</f>
        <v>2239.8649</v>
      </c>
      <c r="F44" s="53">
        <f t="shared" si="2"/>
        <v>1903.8851649999999</v>
      </c>
      <c r="G44" s="23" t="s">
        <v>40</v>
      </c>
      <c r="H44" s="23"/>
      <c r="I44" s="23"/>
      <c r="J44" s="23"/>
      <c r="K44" s="23"/>
      <c r="L44" s="23"/>
      <c r="M44" s="17"/>
    </row>
    <row r="45" spans="1:13" x14ac:dyDescent="0.25">
      <c r="A45" s="30">
        <v>10</v>
      </c>
      <c r="B45" s="4">
        <v>558</v>
      </c>
      <c r="C45" s="65">
        <f>473+5</f>
        <v>478</v>
      </c>
      <c r="D45" s="4" t="s">
        <v>6</v>
      </c>
      <c r="E45" s="27">
        <f>C45*E2</f>
        <v>2353.0888400000003</v>
      </c>
      <c r="F45" s="53">
        <f t="shared" si="2"/>
        <v>2000.1255140000003</v>
      </c>
      <c r="G45" s="23"/>
      <c r="H45" s="23"/>
      <c r="I45" s="23"/>
      <c r="J45" s="23"/>
      <c r="K45" s="23"/>
      <c r="L45" s="23"/>
      <c r="M45" s="17"/>
    </row>
    <row r="46" spans="1:13" x14ac:dyDescent="0.25">
      <c r="F46" s="49"/>
      <c r="G46" s="23"/>
      <c r="H46" s="23"/>
      <c r="I46" s="23"/>
      <c r="J46" s="23"/>
      <c r="K46" s="23"/>
      <c r="L46" s="23"/>
      <c r="M46" s="17"/>
    </row>
    <row r="47" spans="1:13" x14ac:dyDescent="0.25">
      <c r="F47" s="48"/>
      <c r="G47" s="17"/>
      <c r="H47" s="23"/>
      <c r="I47" s="23"/>
      <c r="J47" s="23"/>
      <c r="K47" s="23"/>
      <c r="L47" s="23"/>
      <c r="M47" s="17"/>
    </row>
    <row r="48" spans="1:13" x14ac:dyDescent="0.25">
      <c r="F48" s="49"/>
      <c r="G48" s="17"/>
      <c r="H48" s="23"/>
      <c r="I48" s="23"/>
      <c r="J48" s="23"/>
      <c r="K48" s="23"/>
      <c r="L48" s="23"/>
      <c r="M48" s="17"/>
    </row>
    <row r="49" spans="1:12" ht="45" x14ac:dyDescent="0.2">
      <c r="A49" s="31" t="s">
        <v>41</v>
      </c>
      <c r="B49" s="4" t="s">
        <v>0</v>
      </c>
      <c r="C49" s="65" t="s">
        <v>1</v>
      </c>
      <c r="D49" s="4" t="s">
        <v>2</v>
      </c>
      <c r="E49" s="12" t="s">
        <v>7</v>
      </c>
      <c r="F49" s="64" t="s">
        <v>150</v>
      </c>
      <c r="G49" s="271" t="s">
        <v>42</v>
      </c>
      <c r="H49" s="271"/>
      <c r="I49" s="271"/>
      <c r="J49" s="271"/>
      <c r="K49" s="17"/>
      <c r="L49" s="17"/>
    </row>
    <row r="50" spans="1:12" x14ac:dyDescent="0.25">
      <c r="A50" s="30">
        <v>1</v>
      </c>
      <c r="B50" s="4">
        <v>372</v>
      </c>
      <c r="C50" s="65">
        <f>364+5</f>
        <v>369</v>
      </c>
      <c r="D50" s="4" t="s">
        <v>3</v>
      </c>
      <c r="E50" s="44">
        <f>C50*E2</f>
        <v>1816.5058200000001</v>
      </c>
      <c r="F50" s="53">
        <f>E50*85%</f>
        <v>1544.029947</v>
      </c>
      <c r="G50" s="17"/>
      <c r="H50" s="17"/>
      <c r="I50" s="17"/>
      <c r="J50" s="17"/>
      <c r="K50" s="17"/>
      <c r="L50" s="17"/>
    </row>
    <row r="51" spans="1:12" x14ac:dyDescent="0.25">
      <c r="A51" s="30">
        <v>2</v>
      </c>
      <c r="B51" s="4">
        <v>375</v>
      </c>
      <c r="C51" s="65">
        <f>365+5</f>
        <v>370</v>
      </c>
      <c r="D51" s="4" t="s">
        <v>3</v>
      </c>
      <c r="E51" s="44">
        <f>C51*E2</f>
        <v>1821.4286000000002</v>
      </c>
      <c r="F51" s="53">
        <f t="shared" ref="F51:F62" si="3">E51*85%</f>
        <v>1548.2143100000001</v>
      </c>
      <c r="G51" s="17"/>
      <c r="H51" s="17"/>
      <c r="I51" s="17"/>
      <c r="J51" s="17"/>
      <c r="K51" s="17"/>
      <c r="L51" s="17"/>
    </row>
    <row r="52" spans="1:12" x14ac:dyDescent="0.25">
      <c r="A52" s="30">
        <v>3</v>
      </c>
      <c r="B52" s="4">
        <v>380</v>
      </c>
      <c r="C52" s="65">
        <f>366+5</f>
        <v>371</v>
      </c>
      <c r="D52" s="4" t="s">
        <v>3</v>
      </c>
      <c r="E52" s="44">
        <f>C52*E2</f>
        <v>1826.3513800000001</v>
      </c>
      <c r="F52" s="53">
        <f t="shared" si="3"/>
        <v>1552.3986729999999</v>
      </c>
      <c r="G52" s="17"/>
      <c r="H52" s="17"/>
      <c r="I52" s="17"/>
      <c r="J52" s="17"/>
      <c r="K52" s="17"/>
      <c r="L52" s="17"/>
    </row>
    <row r="53" spans="1:12" x14ac:dyDescent="0.25">
      <c r="A53" s="30">
        <v>4</v>
      </c>
      <c r="B53" s="4">
        <v>388</v>
      </c>
      <c r="C53" s="65">
        <f>368+5</f>
        <v>373</v>
      </c>
      <c r="D53" s="4" t="s">
        <v>18</v>
      </c>
      <c r="E53" s="44">
        <f>C53*E2</f>
        <v>1836.19694</v>
      </c>
      <c r="F53" s="53">
        <f t="shared" si="3"/>
        <v>1560.7673990000001</v>
      </c>
      <c r="G53" s="17"/>
      <c r="H53" s="17"/>
      <c r="I53" s="17"/>
      <c r="J53" s="17"/>
      <c r="K53" s="17"/>
      <c r="L53" s="17"/>
    </row>
    <row r="54" spans="1:12" x14ac:dyDescent="0.25">
      <c r="A54" s="30">
        <v>5</v>
      </c>
      <c r="B54" s="4">
        <v>397</v>
      </c>
      <c r="C54" s="65">
        <f>370+5</f>
        <v>375</v>
      </c>
      <c r="D54" s="4" t="s">
        <v>18</v>
      </c>
      <c r="E54" s="44">
        <f>C54*E2</f>
        <v>1846.0425000000002</v>
      </c>
      <c r="F54" s="53">
        <f t="shared" si="3"/>
        <v>1569.1361250000002</v>
      </c>
      <c r="G54" s="17"/>
      <c r="H54" s="17"/>
      <c r="I54" s="17"/>
      <c r="J54" s="17"/>
      <c r="K54" s="17"/>
      <c r="L54" s="17"/>
    </row>
    <row r="55" spans="1:12" x14ac:dyDescent="0.25">
      <c r="A55" s="30">
        <v>6</v>
      </c>
      <c r="B55" s="4">
        <v>415</v>
      </c>
      <c r="C55" s="65">
        <f>372+5</f>
        <v>377</v>
      </c>
      <c r="D55" s="4" t="s">
        <v>18</v>
      </c>
      <c r="E55" s="44">
        <f>C55*E2</f>
        <v>1855.8880600000002</v>
      </c>
      <c r="F55" s="53">
        <f t="shared" si="3"/>
        <v>1577.5048510000001</v>
      </c>
      <c r="G55" s="17"/>
      <c r="H55" s="17"/>
      <c r="I55" s="17"/>
      <c r="J55" s="17"/>
      <c r="K55" s="17"/>
      <c r="L55" s="17"/>
    </row>
    <row r="56" spans="1:12" x14ac:dyDescent="0.25">
      <c r="A56" s="30">
        <v>7</v>
      </c>
      <c r="B56" s="4">
        <v>437</v>
      </c>
      <c r="C56" s="65">
        <f>385+5</f>
        <v>390</v>
      </c>
      <c r="D56" s="4" t="s">
        <v>18</v>
      </c>
      <c r="E56" s="44">
        <f>C56*E2</f>
        <v>1919.8842000000002</v>
      </c>
      <c r="F56" s="53">
        <f t="shared" si="3"/>
        <v>1631.9015700000002</v>
      </c>
      <c r="G56" s="17"/>
      <c r="H56" s="17"/>
      <c r="I56" s="17"/>
      <c r="J56" s="17"/>
      <c r="K56" s="17"/>
      <c r="L56" s="17"/>
    </row>
    <row r="57" spans="1:12" x14ac:dyDescent="0.25">
      <c r="A57" s="30">
        <v>8</v>
      </c>
      <c r="B57" s="4">
        <v>449</v>
      </c>
      <c r="C57" s="65">
        <f>394+5</f>
        <v>399</v>
      </c>
      <c r="D57" s="4" t="s">
        <v>18</v>
      </c>
      <c r="E57" s="44">
        <f>C57*E2</f>
        <v>1964.1892200000002</v>
      </c>
      <c r="F57" s="53">
        <f t="shared" si="3"/>
        <v>1669.5608370000002</v>
      </c>
      <c r="G57" s="17"/>
      <c r="H57" s="17"/>
      <c r="I57" s="17"/>
      <c r="J57" s="17"/>
      <c r="K57" s="17"/>
      <c r="L57" s="17"/>
    </row>
    <row r="58" spans="1:12" x14ac:dyDescent="0.25">
      <c r="A58" s="30">
        <v>9</v>
      </c>
      <c r="B58" s="4">
        <v>465</v>
      </c>
      <c r="C58" s="65">
        <f>407+5</f>
        <v>412</v>
      </c>
      <c r="D58" s="4" t="s">
        <v>18</v>
      </c>
      <c r="E58" s="44">
        <f>C58*E2</f>
        <v>2028.1853600000002</v>
      </c>
      <c r="F58" s="53">
        <f t="shared" si="3"/>
        <v>1723.9575560000001</v>
      </c>
      <c r="G58" s="17"/>
      <c r="H58" s="17"/>
      <c r="I58" s="17"/>
      <c r="J58" s="17"/>
      <c r="K58" s="17"/>
      <c r="L58" s="17"/>
    </row>
    <row r="59" spans="1:12" x14ac:dyDescent="0.25">
      <c r="A59" s="30">
        <v>10</v>
      </c>
      <c r="B59" s="4">
        <v>479</v>
      </c>
      <c r="C59" s="65">
        <f>416+5</f>
        <v>421</v>
      </c>
      <c r="D59" s="4" t="s">
        <v>4</v>
      </c>
      <c r="E59" s="44">
        <f>C59*E2</f>
        <v>2072.4903800000002</v>
      </c>
      <c r="F59" s="53">
        <f t="shared" si="3"/>
        <v>1761.6168230000001</v>
      </c>
      <c r="G59" s="17"/>
      <c r="H59" s="17"/>
      <c r="I59" s="17"/>
      <c r="J59" s="17"/>
      <c r="K59" s="17"/>
      <c r="L59" s="17"/>
    </row>
    <row r="60" spans="1:12" x14ac:dyDescent="0.25">
      <c r="A60" s="30">
        <v>11</v>
      </c>
      <c r="B60" s="4">
        <v>499</v>
      </c>
      <c r="C60" s="65">
        <f>430+5</f>
        <v>435</v>
      </c>
      <c r="D60" s="4" t="s">
        <v>4</v>
      </c>
      <c r="E60" s="44">
        <f>C60*E2</f>
        <v>2141.4093000000003</v>
      </c>
      <c r="F60" s="53">
        <f t="shared" si="3"/>
        <v>1820.1979050000002</v>
      </c>
      <c r="G60" s="17"/>
      <c r="H60" s="17"/>
      <c r="I60" s="17"/>
      <c r="J60" s="17"/>
      <c r="K60" s="17"/>
      <c r="L60" s="17"/>
    </row>
    <row r="61" spans="1:12" x14ac:dyDescent="0.25">
      <c r="A61" s="30">
        <v>12</v>
      </c>
      <c r="B61" s="4">
        <v>525</v>
      </c>
      <c r="C61" s="65">
        <f>450+5</f>
        <v>455</v>
      </c>
      <c r="D61" s="4" t="s">
        <v>4</v>
      </c>
      <c r="E61" s="44">
        <f>C61*E2</f>
        <v>2239.8649</v>
      </c>
      <c r="F61" s="53">
        <f t="shared" si="3"/>
        <v>1903.8851649999999</v>
      </c>
      <c r="G61" s="17"/>
      <c r="H61" s="17"/>
      <c r="I61" s="17"/>
      <c r="J61" s="17"/>
      <c r="K61" s="17"/>
      <c r="L61" s="17"/>
    </row>
    <row r="62" spans="1:12" x14ac:dyDescent="0.25">
      <c r="A62" s="30">
        <v>13</v>
      </c>
      <c r="B62" s="4">
        <v>562</v>
      </c>
      <c r="C62" s="65">
        <f>476+5</f>
        <v>481</v>
      </c>
      <c r="D62" s="4" t="s">
        <v>6</v>
      </c>
      <c r="E62" s="44">
        <f>C62*E2</f>
        <v>2367.85718</v>
      </c>
      <c r="F62" s="53">
        <f t="shared" si="3"/>
        <v>2012.6786029999998</v>
      </c>
      <c r="G62" s="17"/>
      <c r="H62" s="17"/>
      <c r="I62" s="17"/>
      <c r="J62" s="17"/>
      <c r="K62" s="17"/>
      <c r="L62" s="17"/>
    </row>
    <row r="63" spans="1:12" x14ac:dyDescent="0.25">
      <c r="F63" s="17"/>
      <c r="G63" s="17"/>
      <c r="H63" s="17"/>
      <c r="I63" s="17"/>
      <c r="J63" s="17"/>
      <c r="K63" s="17"/>
      <c r="L63" s="17"/>
    </row>
    <row r="64" spans="1:12" x14ac:dyDescent="0.25">
      <c r="F64" s="17"/>
      <c r="G64" s="17"/>
      <c r="H64" s="17"/>
      <c r="I64" s="17"/>
      <c r="J64" s="17"/>
      <c r="K64" s="17"/>
      <c r="L64" s="17"/>
    </row>
    <row r="65" spans="1:12" x14ac:dyDescent="0.25">
      <c r="F65" s="17"/>
      <c r="G65" s="17"/>
      <c r="H65" s="17"/>
      <c r="I65" s="17"/>
      <c r="J65" s="17"/>
      <c r="K65" s="17"/>
      <c r="L65" s="17"/>
    </row>
    <row r="66" spans="1:12" ht="75" x14ac:dyDescent="0.2">
      <c r="A66" s="31" t="s">
        <v>43</v>
      </c>
      <c r="B66" s="4" t="s">
        <v>0</v>
      </c>
      <c r="C66" s="65" t="s">
        <v>1</v>
      </c>
      <c r="D66" s="4" t="s">
        <v>2</v>
      </c>
      <c r="E66" s="12" t="s">
        <v>7</v>
      </c>
      <c r="F66" s="64" t="s">
        <v>150</v>
      </c>
      <c r="G66" s="269" t="s">
        <v>44</v>
      </c>
      <c r="H66" s="269"/>
      <c r="I66" s="269"/>
      <c r="J66" s="269"/>
      <c r="K66" s="269"/>
      <c r="L66" s="269"/>
    </row>
    <row r="67" spans="1:12" x14ac:dyDescent="0.25">
      <c r="A67" s="30">
        <v>1</v>
      </c>
      <c r="B67" s="4">
        <v>390</v>
      </c>
      <c r="C67" s="65">
        <f>368+5</f>
        <v>373</v>
      </c>
      <c r="D67" s="4" t="s">
        <v>3</v>
      </c>
      <c r="E67" s="44">
        <f>C67*E2</f>
        <v>1836.19694</v>
      </c>
      <c r="F67" s="53">
        <f>E67*85%</f>
        <v>1560.7673990000001</v>
      </c>
      <c r="G67" s="43"/>
      <c r="H67" s="43"/>
      <c r="I67" s="43"/>
      <c r="J67" s="43"/>
      <c r="K67" s="43"/>
      <c r="L67" s="17"/>
    </row>
    <row r="68" spans="1:12" x14ac:dyDescent="0.25">
      <c r="A68" s="30">
        <v>2</v>
      </c>
      <c r="B68" s="4">
        <v>400</v>
      </c>
      <c r="C68" s="65">
        <f>371+5</f>
        <v>376</v>
      </c>
      <c r="D68" s="4" t="s">
        <v>3</v>
      </c>
      <c r="E68" s="44">
        <f>C68*E2</f>
        <v>1850.9652800000001</v>
      </c>
      <c r="F68" s="53">
        <f t="shared" ref="F68:F76" si="4">E68*85%</f>
        <v>1573.3204880000001</v>
      </c>
      <c r="G68" s="17"/>
      <c r="H68" s="17"/>
      <c r="I68" s="17"/>
      <c r="J68" s="17"/>
      <c r="K68" s="17"/>
      <c r="L68" s="17"/>
    </row>
    <row r="69" spans="1:12" x14ac:dyDescent="0.25">
      <c r="A69" s="30">
        <v>3</v>
      </c>
      <c r="B69" s="4">
        <v>420</v>
      </c>
      <c r="C69" s="65">
        <f>373+5</f>
        <v>378</v>
      </c>
      <c r="D69" s="4" t="s">
        <v>18</v>
      </c>
      <c r="E69" s="44">
        <f>C69*E2</f>
        <v>1860.8108400000001</v>
      </c>
      <c r="F69" s="53">
        <f t="shared" si="4"/>
        <v>1581.689214</v>
      </c>
      <c r="G69" s="17"/>
      <c r="H69" s="17"/>
      <c r="I69" s="17"/>
      <c r="J69" s="17"/>
      <c r="K69" s="17"/>
      <c r="L69" s="17"/>
    </row>
    <row r="70" spans="1:12" x14ac:dyDescent="0.25">
      <c r="A70" s="30">
        <v>4</v>
      </c>
      <c r="B70" s="4">
        <v>446</v>
      </c>
      <c r="C70" s="65">
        <f>392+5</f>
        <v>397</v>
      </c>
      <c r="D70" s="4" t="s">
        <v>18</v>
      </c>
      <c r="E70" s="44">
        <f>C70*E2</f>
        <v>1954.3436600000002</v>
      </c>
      <c r="F70" s="53">
        <f t="shared" si="4"/>
        <v>1661.1921110000001</v>
      </c>
      <c r="G70" s="17"/>
      <c r="H70" s="17"/>
      <c r="I70" s="17"/>
      <c r="J70" s="17"/>
      <c r="K70" s="17"/>
      <c r="L70" s="17"/>
    </row>
    <row r="71" spans="1:12" x14ac:dyDescent="0.25">
      <c r="A71" s="30">
        <v>5</v>
      </c>
      <c r="B71" s="4">
        <v>468</v>
      </c>
      <c r="C71" s="65">
        <f>409+5</f>
        <v>414</v>
      </c>
      <c r="D71" s="4" t="s">
        <v>18</v>
      </c>
      <c r="E71" s="44">
        <f>C71*E2</f>
        <v>2038.0309200000002</v>
      </c>
      <c r="F71" s="53">
        <f t="shared" si="4"/>
        <v>1732.326282</v>
      </c>
      <c r="G71" s="17"/>
      <c r="H71" s="17"/>
      <c r="I71" s="17"/>
      <c r="J71" s="17"/>
      <c r="K71" s="17"/>
      <c r="L71" s="17"/>
    </row>
    <row r="72" spans="1:12" x14ac:dyDescent="0.25">
      <c r="A72" s="30">
        <v>6</v>
      </c>
      <c r="B72" s="4">
        <v>492</v>
      </c>
      <c r="C72" s="65">
        <f>425+5</f>
        <v>430</v>
      </c>
      <c r="D72" s="4" t="s">
        <v>18</v>
      </c>
      <c r="E72" s="44">
        <f>C72*E2</f>
        <v>2116.7954</v>
      </c>
      <c r="F72" s="53">
        <f t="shared" si="4"/>
        <v>1799.2760899999998</v>
      </c>
      <c r="G72" s="17"/>
      <c r="H72" s="17"/>
      <c r="I72" s="17"/>
      <c r="J72" s="17"/>
      <c r="K72" s="17"/>
      <c r="L72" s="17"/>
    </row>
    <row r="73" spans="1:12" x14ac:dyDescent="0.25">
      <c r="A73" s="30">
        <v>7</v>
      </c>
      <c r="B73" s="4">
        <v>505</v>
      </c>
      <c r="C73" s="65">
        <f>435+5</f>
        <v>440</v>
      </c>
      <c r="D73" s="4" t="s">
        <v>4</v>
      </c>
      <c r="E73" s="44">
        <f>C73*E2</f>
        <v>2166.0232000000001</v>
      </c>
      <c r="F73" s="53">
        <f t="shared" si="4"/>
        <v>1841.1197199999999</v>
      </c>
      <c r="G73" s="17"/>
      <c r="H73" s="17"/>
      <c r="I73" s="17"/>
      <c r="J73" s="17"/>
      <c r="K73" s="17"/>
      <c r="L73" s="17"/>
    </row>
    <row r="74" spans="1:12" x14ac:dyDescent="0.25">
      <c r="A74" s="30">
        <v>8</v>
      </c>
      <c r="B74" s="4">
        <v>526</v>
      </c>
      <c r="C74" s="65">
        <f>451+5</f>
        <v>456</v>
      </c>
      <c r="D74" s="4" t="s">
        <v>4</v>
      </c>
      <c r="E74" s="44">
        <f>C74*E2</f>
        <v>2244.7876800000004</v>
      </c>
      <c r="F74" s="53">
        <f t="shared" si="4"/>
        <v>1908.0695280000002</v>
      </c>
      <c r="G74" s="17"/>
      <c r="H74" s="17"/>
      <c r="I74" s="17"/>
      <c r="J74" s="17"/>
      <c r="K74" s="17"/>
      <c r="L74" s="17"/>
    </row>
    <row r="75" spans="1:12" x14ac:dyDescent="0.25">
      <c r="A75" s="30">
        <v>9</v>
      </c>
      <c r="B75" s="4">
        <v>563</v>
      </c>
      <c r="C75" s="65">
        <f>477+5</f>
        <v>482</v>
      </c>
      <c r="D75" s="4" t="s">
        <v>5</v>
      </c>
      <c r="E75" s="44">
        <f>C75*E2</f>
        <v>2372.7799600000003</v>
      </c>
      <c r="F75" s="53">
        <f t="shared" si="4"/>
        <v>2016.8629660000001</v>
      </c>
      <c r="G75" s="17"/>
      <c r="H75" s="17"/>
      <c r="I75" s="17"/>
      <c r="J75" s="17"/>
      <c r="K75" s="17"/>
      <c r="L75" s="17"/>
    </row>
    <row r="76" spans="1:12" x14ac:dyDescent="0.25">
      <c r="A76" s="30">
        <v>10</v>
      </c>
      <c r="B76" s="4">
        <v>597</v>
      </c>
      <c r="C76" s="65">
        <f>503+5</f>
        <v>508</v>
      </c>
      <c r="D76" s="4" t="s">
        <v>6</v>
      </c>
      <c r="E76" s="44">
        <f>C76*E2</f>
        <v>2500.7722400000002</v>
      </c>
      <c r="F76" s="53">
        <f t="shared" si="4"/>
        <v>2125.6564040000003</v>
      </c>
      <c r="G76" s="17"/>
      <c r="H76" s="17"/>
      <c r="I76" s="17"/>
      <c r="J76" s="17"/>
      <c r="K76" s="17"/>
      <c r="L76" s="17"/>
    </row>
    <row r="77" spans="1:12" x14ac:dyDescent="0.25">
      <c r="F77" s="41"/>
      <c r="G77" s="17"/>
      <c r="H77" s="17"/>
      <c r="I77" s="17"/>
      <c r="J77" s="17"/>
      <c r="K77" s="17"/>
      <c r="L77" s="17"/>
    </row>
    <row r="78" spans="1:12" x14ac:dyDescent="0.25">
      <c r="F78" s="17"/>
      <c r="G78" s="17"/>
      <c r="H78" s="17"/>
      <c r="I78" s="17"/>
      <c r="J78" s="17"/>
      <c r="K78" s="17"/>
      <c r="L78" s="17"/>
    </row>
    <row r="79" spans="1:12" x14ac:dyDescent="0.25">
      <c r="F79" s="17"/>
      <c r="G79" s="17"/>
      <c r="H79" s="17"/>
      <c r="I79" s="17"/>
      <c r="J79" s="17"/>
      <c r="K79" s="17"/>
      <c r="L79" s="17"/>
    </row>
    <row r="80" spans="1:12" ht="75" x14ac:dyDescent="0.2">
      <c r="A80" s="31" t="s">
        <v>45</v>
      </c>
      <c r="B80" s="4" t="s">
        <v>0</v>
      </c>
      <c r="C80" s="65" t="s">
        <v>1</v>
      </c>
      <c r="D80" s="4" t="s">
        <v>2</v>
      </c>
      <c r="E80" s="12" t="s">
        <v>7</v>
      </c>
      <c r="F80" s="64" t="s">
        <v>150</v>
      </c>
      <c r="G80" s="269" t="s">
        <v>46</v>
      </c>
      <c r="H80" s="269"/>
      <c r="I80" s="269"/>
      <c r="J80" s="269"/>
      <c r="K80" s="269"/>
      <c r="L80" s="269"/>
    </row>
    <row r="81" spans="1:12" x14ac:dyDescent="0.25">
      <c r="A81" s="30">
        <v>1</v>
      </c>
      <c r="B81" s="4">
        <v>368</v>
      </c>
      <c r="C81" s="65">
        <f>362+5</f>
        <v>367</v>
      </c>
      <c r="D81" s="4" t="s">
        <v>3</v>
      </c>
      <c r="E81" s="44">
        <f>C81*E2</f>
        <v>1806.6602600000001</v>
      </c>
      <c r="F81" s="53">
        <f>E81*85%</f>
        <v>1535.6612210000001</v>
      </c>
      <c r="L81" s="17"/>
    </row>
    <row r="82" spans="1:12" x14ac:dyDescent="0.25">
      <c r="A82" s="30">
        <v>2</v>
      </c>
      <c r="B82" s="4">
        <v>371</v>
      </c>
      <c r="C82" s="65">
        <f>364+5</f>
        <v>369</v>
      </c>
      <c r="D82" s="4" t="s">
        <v>3</v>
      </c>
      <c r="E82" s="44">
        <f>C82*E2</f>
        <v>1816.5058200000001</v>
      </c>
      <c r="F82" s="53">
        <f t="shared" ref="F82:F92" si="5">E82*85%</f>
        <v>1544.029947</v>
      </c>
      <c r="G82" s="17"/>
      <c r="H82" s="17"/>
      <c r="I82" s="17"/>
      <c r="J82" s="17"/>
      <c r="K82" s="17"/>
      <c r="L82" s="17"/>
    </row>
    <row r="83" spans="1:12" x14ac:dyDescent="0.25">
      <c r="A83" s="30">
        <v>3</v>
      </c>
      <c r="B83" s="4">
        <v>376</v>
      </c>
      <c r="C83" s="65">
        <f>365+5</f>
        <v>370</v>
      </c>
      <c r="D83" s="4" t="s">
        <v>3</v>
      </c>
      <c r="E83" s="44">
        <f>C83*E2</f>
        <v>1821.4286000000002</v>
      </c>
      <c r="F83" s="53">
        <f t="shared" si="5"/>
        <v>1548.2143100000001</v>
      </c>
      <c r="G83" s="17"/>
      <c r="H83" s="17"/>
      <c r="I83" s="17"/>
      <c r="J83" s="17"/>
      <c r="K83" s="17"/>
      <c r="L83" s="17"/>
    </row>
    <row r="84" spans="1:12" x14ac:dyDescent="0.25">
      <c r="A84" s="30">
        <v>4</v>
      </c>
      <c r="B84" s="4">
        <v>387</v>
      </c>
      <c r="C84" s="65">
        <f>368+5</f>
        <v>373</v>
      </c>
      <c r="D84" s="4" t="s">
        <v>3</v>
      </c>
      <c r="E84" s="44">
        <f>C84*E2</f>
        <v>1836.19694</v>
      </c>
      <c r="F84" s="53">
        <f t="shared" si="5"/>
        <v>1560.7673990000001</v>
      </c>
      <c r="G84" s="17"/>
      <c r="H84" s="17"/>
      <c r="I84" s="17"/>
      <c r="J84" s="17"/>
      <c r="K84" s="17"/>
      <c r="L84" s="17"/>
    </row>
    <row r="85" spans="1:12" x14ac:dyDescent="0.25">
      <c r="A85" s="30">
        <v>5</v>
      </c>
      <c r="B85" s="4">
        <v>396</v>
      </c>
      <c r="C85" s="65">
        <f>369+5</f>
        <v>374</v>
      </c>
      <c r="D85" s="4" t="s">
        <v>3</v>
      </c>
      <c r="E85" s="44">
        <f>C85*E2</f>
        <v>1841.1197200000001</v>
      </c>
      <c r="F85" s="53">
        <f t="shared" si="5"/>
        <v>1564.9517620000001</v>
      </c>
      <c r="G85" s="17"/>
      <c r="H85" s="17"/>
      <c r="I85" s="17"/>
      <c r="J85" s="17"/>
      <c r="K85" s="17"/>
      <c r="L85" s="17"/>
    </row>
    <row r="86" spans="1:12" x14ac:dyDescent="0.25">
      <c r="A86" s="30">
        <v>6</v>
      </c>
      <c r="B86" s="4">
        <v>404</v>
      </c>
      <c r="C86" s="65">
        <f>371+5</f>
        <v>376</v>
      </c>
      <c r="D86" s="4" t="s">
        <v>3</v>
      </c>
      <c r="E86" s="44">
        <f>C86*E2</f>
        <v>1850.9652800000001</v>
      </c>
      <c r="F86" s="53">
        <f t="shared" si="5"/>
        <v>1573.3204880000001</v>
      </c>
      <c r="G86" s="17"/>
      <c r="H86" s="17"/>
      <c r="I86" s="17"/>
      <c r="J86" s="17"/>
      <c r="K86" s="17"/>
      <c r="L86" s="17"/>
    </row>
    <row r="87" spans="1:12" x14ac:dyDescent="0.25">
      <c r="A87" s="30">
        <v>7</v>
      </c>
      <c r="B87" s="4">
        <v>416</v>
      </c>
      <c r="C87" s="65">
        <f>372+5</f>
        <v>377</v>
      </c>
      <c r="D87" s="4" t="s">
        <v>18</v>
      </c>
      <c r="E87" s="44">
        <f>C87*E2</f>
        <v>1855.8880600000002</v>
      </c>
      <c r="F87" s="53">
        <f t="shared" si="5"/>
        <v>1577.5048510000001</v>
      </c>
      <c r="G87" s="17"/>
      <c r="H87" s="17"/>
      <c r="I87" s="17"/>
      <c r="J87" s="17"/>
      <c r="K87" s="17"/>
      <c r="L87" s="17"/>
    </row>
    <row r="88" spans="1:12" x14ac:dyDescent="0.25">
      <c r="A88" s="30">
        <v>8</v>
      </c>
      <c r="B88" s="4">
        <v>430</v>
      </c>
      <c r="C88" s="65">
        <f>380+5</f>
        <v>385</v>
      </c>
      <c r="D88" s="4" t="s">
        <v>18</v>
      </c>
      <c r="E88" s="44">
        <f>C88*E2</f>
        <v>1895.2703000000001</v>
      </c>
      <c r="F88" s="53">
        <f t="shared" si="5"/>
        <v>1610.9797550000001</v>
      </c>
      <c r="G88" s="17"/>
      <c r="H88" s="17"/>
      <c r="I88" s="17"/>
      <c r="J88" s="17"/>
      <c r="K88" s="17"/>
      <c r="L88" s="17"/>
    </row>
    <row r="89" spans="1:12" x14ac:dyDescent="0.25">
      <c r="A89" s="30">
        <v>9</v>
      </c>
      <c r="B89" s="4">
        <v>446</v>
      </c>
      <c r="C89" s="65">
        <f>392+5</f>
        <v>397</v>
      </c>
      <c r="D89" s="4" t="s">
        <v>4</v>
      </c>
      <c r="E89" s="44">
        <f>C89*E2</f>
        <v>1954.3436600000002</v>
      </c>
      <c r="F89" s="53">
        <f t="shared" si="5"/>
        <v>1661.1921110000001</v>
      </c>
      <c r="G89" s="17"/>
      <c r="H89" s="17"/>
      <c r="I89" s="17"/>
      <c r="J89" s="17"/>
      <c r="K89" s="17"/>
      <c r="L89" s="17"/>
    </row>
    <row r="90" spans="1:12" x14ac:dyDescent="0.25">
      <c r="A90" s="30">
        <v>10</v>
      </c>
      <c r="B90" s="4">
        <v>461</v>
      </c>
      <c r="C90" s="65">
        <f>404+5</f>
        <v>409</v>
      </c>
      <c r="D90" s="4" t="s">
        <v>4</v>
      </c>
      <c r="E90" s="44">
        <f>C90*E2</f>
        <v>2013.4170200000001</v>
      </c>
      <c r="F90" s="53">
        <f t="shared" si="5"/>
        <v>1711.4044670000001</v>
      </c>
      <c r="G90" s="17"/>
      <c r="H90" s="17"/>
      <c r="I90" s="17"/>
      <c r="J90" s="17"/>
      <c r="K90" s="17"/>
      <c r="L90" s="17"/>
    </row>
    <row r="91" spans="1:12" x14ac:dyDescent="0.25">
      <c r="A91" s="30">
        <v>11</v>
      </c>
      <c r="B91" s="4">
        <v>473</v>
      </c>
      <c r="C91" s="65">
        <f>412+5</f>
        <v>417</v>
      </c>
      <c r="D91" s="4" t="s">
        <v>5</v>
      </c>
      <c r="E91" s="44">
        <f>C91*E2</f>
        <v>2052.7992600000002</v>
      </c>
      <c r="F91" s="53">
        <f t="shared" si="5"/>
        <v>1744.8793710000002</v>
      </c>
      <c r="G91" s="17"/>
      <c r="H91" s="17"/>
      <c r="I91" s="17"/>
      <c r="J91" s="17"/>
      <c r="K91" s="17"/>
      <c r="L91" s="17"/>
    </row>
    <row r="92" spans="1:12" x14ac:dyDescent="0.25">
      <c r="A92" s="30">
        <v>12</v>
      </c>
      <c r="B92" s="4">
        <v>486</v>
      </c>
      <c r="C92" s="65">
        <f>420+5</f>
        <v>425</v>
      </c>
      <c r="D92" s="4" t="s">
        <v>6</v>
      </c>
      <c r="E92" s="44">
        <f>C92*E2</f>
        <v>2092.1815000000001</v>
      </c>
      <c r="F92" s="53">
        <f t="shared" si="5"/>
        <v>1778.3542750000001</v>
      </c>
      <c r="G92" s="17"/>
      <c r="H92" s="17"/>
      <c r="I92" s="17"/>
      <c r="J92" s="17"/>
      <c r="K92" s="17"/>
      <c r="L92" s="17"/>
    </row>
    <row r="93" spans="1:12" x14ac:dyDescent="0.25">
      <c r="F93" s="17"/>
      <c r="G93" s="17"/>
      <c r="H93" s="17"/>
      <c r="I93" s="17"/>
      <c r="J93" s="17"/>
      <c r="K93" s="17"/>
      <c r="L93" s="17"/>
    </row>
    <row r="94" spans="1:12" x14ac:dyDescent="0.25">
      <c r="F94" s="17"/>
      <c r="G94" s="17"/>
      <c r="H94" s="17"/>
      <c r="I94" s="17"/>
      <c r="J94" s="17"/>
      <c r="K94" s="17"/>
      <c r="L94" s="17"/>
    </row>
    <row r="95" spans="1:12" x14ac:dyDescent="0.25">
      <c r="F95" s="17"/>
      <c r="G95" s="17"/>
      <c r="H95" s="17"/>
      <c r="I95" s="17"/>
      <c r="J95" s="17"/>
      <c r="K95" s="17"/>
      <c r="L95" s="17"/>
    </row>
    <row r="96" spans="1:12" ht="90" x14ac:dyDescent="0.2">
      <c r="A96" s="31" t="s">
        <v>49</v>
      </c>
      <c r="B96" s="4" t="s">
        <v>0</v>
      </c>
      <c r="C96" s="65" t="s">
        <v>1</v>
      </c>
      <c r="D96" s="4" t="s">
        <v>2</v>
      </c>
      <c r="E96" s="12" t="s">
        <v>7</v>
      </c>
      <c r="F96" s="64" t="s">
        <v>150</v>
      </c>
      <c r="G96" s="269" t="s">
        <v>50</v>
      </c>
      <c r="H96" s="269"/>
      <c r="I96" s="269"/>
      <c r="J96" s="269"/>
      <c r="K96" s="269"/>
      <c r="L96" s="269"/>
    </row>
    <row r="97" spans="1:12" x14ac:dyDescent="0.25">
      <c r="A97" s="30">
        <v>1</v>
      </c>
      <c r="B97" s="4">
        <v>390</v>
      </c>
      <c r="C97" s="65">
        <f>368+5</f>
        <v>373</v>
      </c>
      <c r="D97" s="4" t="s">
        <v>18</v>
      </c>
      <c r="E97" s="44">
        <f>C97*E2</f>
        <v>1836.19694</v>
      </c>
      <c r="F97" s="53">
        <f>E97*85%</f>
        <v>1560.7673990000001</v>
      </c>
      <c r="L97" s="17"/>
    </row>
    <row r="98" spans="1:12" x14ac:dyDescent="0.25">
      <c r="A98" s="30">
        <v>2</v>
      </c>
      <c r="B98" s="4">
        <v>407</v>
      </c>
      <c r="C98" s="65">
        <f>371+5</f>
        <v>376</v>
      </c>
      <c r="D98" s="4" t="s">
        <v>18</v>
      </c>
      <c r="E98" s="44">
        <f>C98*E2</f>
        <v>1850.9652800000001</v>
      </c>
      <c r="F98" s="53">
        <f t="shared" ref="F98:F105" si="6">E98*85%</f>
        <v>1573.3204880000001</v>
      </c>
      <c r="G98" s="17"/>
      <c r="H98" s="17"/>
      <c r="I98" s="17"/>
      <c r="J98" s="17"/>
      <c r="K98" s="17"/>
      <c r="L98" s="17"/>
    </row>
    <row r="99" spans="1:12" x14ac:dyDescent="0.25">
      <c r="A99" s="30">
        <v>3</v>
      </c>
      <c r="B99" s="4">
        <v>425</v>
      </c>
      <c r="C99" s="65">
        <f>377+5</f>
        <v>382</v>
      </c>
      <c r="D99" s="4" t="s">
        <v>18</v>
      </c>
      <c r="E99" s="44">
        <f>C99*E2</f>
        <v>1880.5019600000001</v>
      </c>
      <c r="F99" s="53">
        <f t="shared" si="6"/>
        <v>1598.4266660000001</v>
      </c>
      <c r="G99" s="17"/>
      <c r="H99" s="17"/>
      <c r="I99" s="17"/>
      <c r="J99" s="17"/>
      <c r="K99" s="17"/>
      <c r="L99" s="17"/>
    </row>
    <row r="100" spans="1:12" x14ac:dyDescent="0.25">
      <c r="A100" s="30">
        <v>4</v>
      </c>
      <c r="B100" s="4">
        <v>445</v>
      </c>
      <c r="C100" s="65">
        <f>391+5</f>
        <v>396</v>
      </c>
      <c r="D100" s="4" t="s">
        <v>18</v>
      </c>
      <c r="E100" s="44">
        <f>C100*E2</f>
        <v>1949.4208800000001</v>
      </c>
      <c r="F100" s="53">
        <f t="shared" si="6"/>
        <v>1657.007748</v>
      </c>
      <c r="G100" s="17"/>
      <c r="H100" s="17"/>
      <c r="I100" s="17"/>
      <c r="J100" s="17"/>
      <c r="K100" s="17"/>
      <c r="L100" s="17"/>
    </row>
    <row r="101" spans="1:12" x14ac:dyDescent="0.25">
      <c r="A101" s="30">
        <v>5</v>
      </c>
      <c r="B101" s="4">
        <v>469</v>
      </c>
      <c r="C101" s="65">
        <f>410+5</f>
        <v>415</v>
      </c>
      <c r="D101" s="4" t="s">
        <v>18</v>
      </c>
      <c r="E101" s="44">
        <f>C101*E2</f>
        <v>2042.9537000000003</v>
      </c>
      <c r="F101" s="53">
        <f t="shared" si="6"/>
        <v>1736.5106450000001</v>
      </c>
      <c r="G101" s="17"/>
      <c r="H101" s="17"/>
      <c r="I101" s="17"/>
      <c r="J101" s="17"/>
      <c r="K101" s="17"/>
      <c r="L101" s="17"/>
    </row>
    <row r="102" spans="1:12" x14ac:dyDescent="0.25">
      <c r="A102" s="30">
        <v>6</v>
      </c>
      <c r="B102" s="4">
        <v>487</v>
      </c>
      <c r="C102" s="65">
        <f>421+5</f>
        <v>426</v>
      </c>
      <c r="D102" s="4" t="s">
        <v>48</v>
      </c>
      <c r="E102" s="44">
        <f>C102*E2</f>
        <v>2097.10428</v>
      </c>
      <c r="F102" s="53">
        <f t="shared" si="6"/>
        <v>1782.538638</v>
      </c>
      <c r="G102" s="17"/>
      <c r="H102" s="17"/>
      <c r="I102" s="17"/>
      <c r="J102" s="17"/>
      <c r="K102" s="17"/>
      <c r="L102" s="17"/>
    </row>
    <row r="103" spans="1:12" x14ac:dyDescent="0.25">
      <c r="A103" s="30">
        <v>7</v>
      </c>
      <c r="B103" s="4">
        <v>501</v>
      </c>
      <c r="C103" s="65">
        <f>432+5</f>
        <v>437</v>
      </c>
      <c r="D103" s="4" t="s">
        <v>4</v>
      </c>
      <c r="E103" s="44">
        <f>C103*E2</f>
        <v>2151.25486</v>
      </c>
      <c r="F103" s="53">
        <f t="shared" si="6"/>
        <v>1828.5666309999999</v>
      </c>
      <c r="G103" s="17"/>
      <c r="H103" s="17"/>
      <c r="I103" s="17"/>
      <c r="J103" s="17"/>
      <c r="K103" s="17"/>
      <c r="L103" s="17"/>
    </row>
    <row r="104" spans="1:12" x14ac:dyDescent="0.25">
      <c r="A104" s="30">
        <v>8</v>
      </c>
      <c r="B104" s="4">
        <v>526</v>
      </c>
      <c r="C104" s="65">
        <f>451+5</f>
        <v>456</v>
      </c>
      <c r="D104" s="4" t="s">
        <v>5</v>
      </c>
      <c r="E104" s="44">
        <f>C104*E2</f>
        <v>2244.7876800000004</v>
      </c>
      <c r="F104" s="53">
        <f t="shared" si="6"/>
        <v>1908.0695280000002</v>
      </c>
      <c r="G104" s="17"/>
      <c r="H104" s="17"/>
      <c r="I104" s="17"/>
      <c r="J104" s="17"/>
      <c r="K104" s="17"/>
      <c r="L104" s="17"/>
    </row>
    <row r="105" spans="1:12" x14ac:dyDescent="0.25">
      <c r="A105" s="30">
        <v>9</v>
      </c>
      <c r="B105" s="4">
        <v>566</v>
      </c>
      <c r="C105" s="65">
        <f>479+5</f>
        <v>484</v>
      </c>
      <c r="D105" s="4" t="s">
        <v>6</v>
      </c>
      <c r="E105" s="44">
        <f>C105*E2</f>
        <v>2382.6255200000001</v>
      </c>
      <c r="F105" s="53">
        <f t="shared" si="6"/>
        <v>2025.2316920000001</v>
      </c>
      <c r="G105" s="17"/>
      <c r="H105" s="17"/>
      <c r="I105" s="17"/>
      <c r="J105" s="17"/>
      <c r="K105" s="17"/>
      <c r="L105" s="17"/>
    </row>
    <row r="106" spans="1:12" x14ac:dyDescent="0.25">
      <c r="F106" s="17"/>
      <c r="G106" s="17"/>
      <c r="H106" s="17"/>
      <c r="I106" s="17"/>
      <c r="J106" s="17"/>
      <c r="K106" s="17"/>
      <c r="L106" s="17"/>
    </row>
    <row r="107" spans="1:12" x14ac:dyDescent="0.25">
      <c r="F107" s="17"/>
      <c r="G107" s="17"/>
      <c r="H107" s="17"/>
      <c r="I107" s="17"/>
      <c r="J107" s="17"/>
      <c r="K107" s="17"/>
      <c r="L107" s="17"/>
    </row>
    <row r="108" spans="1:12" x14ac:dyDescent="0.25">
      <c r="F108" s="17"/>
      <c r="G108" s="17"/>
      <c r="H108" s="17"/>
      <c r="I108" s="17"/>
      <c r="J108" s="17"/>
      <c r="K108" s="17"/>
      <c r="L108" s="17"/>
    </row>
    <row r="109" spans="1:12" x14ac:dyDescent="0.25">
      <c r="F109" s="17"/>
      <c r="G109" s="17"/>
      <c r="H109" s="17"/>
      <c r="I109" s="17"/>
      <c r="J109" s="17"/>
      <c r="K109" s="17"/>
      <c r="L109" s="17"/>
    </row>
    <row r="110" spans="1:12" x14ac:dyDescent="0.25">
      <c r="F110" s="17"/>
      <c r="G110" s="17"/>
      <c r="H110" s="17"/>
      <c r="I110" s="17"/>
      <c r="J110" s="17"/>
      <c r="K110" s="17"/>
      <c r="L110" s="17"/>
    </row>
    <row r="111" spans="1:12" x14ac:dyDescent="0.25">
      <c r="F111" s="17"/>
      <c r="G111" s="17"/>
      <c r="H111" s="17"/>
      <c r="I111" s="17"/>
      <c r="J111" s="17"/>
      <c r="K111" s="17"/>
      <c r="L111" s="17"/>
    </row>
    <row r="112" spans="1:12" x14ac:dyDescent="0.25">
      <c r="F112" s="17"/>
      <c r="G112" s="17"/>
      <c r="H112" s="17"/>
      <c r="I112" s="17"/>
      <c r="J112" s="17"/>
      <c r="K112" s="17"/>
      <c r="L112" s="17"/>
    </row>
    <row r="113" spans="6:12" x14ac:dyDescent="0.25">
      <c r="F113" s="17"/>
      <c r="G113" s="17"/>
      <c r="H113" s="17"/>
      <c r="I113" s="17"/>
      <c r="J113" s="17"/>
      <c r="K113" s="17"/>
      <c r="L113" s="17"/>
    </row>
    <row r="114" spans="6:12" x14ac:dyDescent="0.25">
      <c r="F114" s="17"/>
      <c r="G114" s="17"/>
      <c r="H114" s="17"/>
      <c r="I114" s="17"/>
      <c r="J114" s="17"/>
      <c r="K114" s="17"/>
      <c r="L114" s="17"/>
    </row>
    <row r="115" spans="6:12" x14ac:dyDescent="0.25">
      <c r="F115" s="17"/>
      <c r="G115" s="17"/>
      <c r="H115" s="17"/>
      <c r="I115" s="17"/>
      <c r="J115" s="17"/>
      <c r="K115" s="17"/>
      <c r="L115" s="17"/>
    </row>
    <row r="116" spans="6:12" x14ac:dyDescent="0.25">
      <c r="F116" s="17"/>
      <c r="G116" s="17"/>
      <c r="H116" s="17"/>
      <c r="I116" s="17"/>
      <c r="J116" s="17"/>
      <c r="K116" s="17"/>
      <c r="L116" s="17"/>
    </row>
    <row r="117" spans="6:12" x14ac:dyDescent="0.25">
      <c r="F117" s="17"/>
      <c r="G117" s="17"/>
      <c r="H117" s="17"/>
      <c r="I117" s="17"/>
      <c r="J117" s="17"/>
      <c r="K117" s="17"/>
      <c r="L117" s="17"/>
    </row>
    <row r="118" spans="6:12" x14ac:dyDescent="0.25">
      <c r="F118" s="17"/>
      <c r="G118" s="17"/>
      <c r="H118" s="17"/>
      <c r="I118" s="17"/>
      <c r="J118" s="17"/>
      <c r="K118" s="17"/>
    </row>
    <row r="119" spans="6:12" x14ac:dyDescent="0.25">
      <c r="F119" s="17"/>
      <c r="G119" s="17"/>
      <c r="H119" s="17"/>
      <c r="I119" s="17"/>
      <c r="J119" s="17"/>
      <c r="K119" s="17"/>
    </row>
    <row r="120" spans="6:12" x14ac:dyDescent="0.25">
      <c r="F120" s="17"/>
      <c r="G120" s="17"/>
      <c r="H120" s="17"/>
      <c r="I120" s="17"/>
      <c r="J120" s="17"/>
      <c r="K120" s="17"/>
    </row>
    <row r="121" spans="6:12" x14ac:dyDescent="0.25">
      <c r="F121" s="17"/>
      <c r="G121" s="17"/>
      <c r="H121" s="17"/>
      <c r="I121" s="17"/>
      <c r="J121" s="17"/>
      <c r="K121" s="17"/>
    </row>
  </sheetData>
  <sheetProtection algorithmName="SHA-512" hashValue="giNuagDdtIap6eKlrD1OhygeaMoIDOz5P7mdOCyj+ewLXQ+RlpATeXQz/Hh3yj4TCoPtoP9ZBwwoROATo1B52A==" saltValue="ySu2Zv/0DmTKQGWYu1Xzkw==" spinCount="100000" sheet="1" objects="1" scenarios="1" selectLockedCells="1" selectUnlockedCells="1"/>
  <dataConsolidate function="countNums">
    <dataRefs count="1">
      <dataRef ref="A5:E15" sheet="Catégorie C"/>
    </dataRefs>
  </dataConsolidate>
  <mergeCells count="8">
    <mergeCell ref="A1:D1"/>
    <mergeCell ref="A2:D2"/>
    <mergeCell ref="G19:J19"/>
    <mergeCell ref="G96:L96"/>
    <mergeCell ref="E1:G1"/>
    <mergeCell ref="G49:J49"/>
    <mergeCell ref="G80:L80"/>
    <mergeCell ref="G66:L66"/>
  </mergeCells>
  <pageMargins left="0.7" right="0.7" top="0.75" bottom="0.75" header="0.3" footer="0.3"/>
  <pageSetup paperSize="9" scale="5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rgb="FFF85EF1"/>
  </sheetPr>
  <dimension ref="A1:L78"/>
  <sheetViews>
    <sheetView showGridLines="0" zoomScaleNormal="100" workbookViewId="0">
      <pane ySplit="2" topLeftCell="A3" activePane="bottomLeft" state="frozen"/>
      <selection pane="bottomLeft" activeCell="C67" sqref="C67:C78"/>
    </sheetView>
  </sheetViews>
  <sheetFormatPr baseColWidth="10" defaultRowHeight="15" x14ac:dyDescent="0.25"/>
  <cols>
    <col min="7" max="7" width="12.85546875" customWidth="1"/>
    <col min="10" max="10" width="12.28515625" customWidth="1"/>
  </cols>
  <sheetData>
    <row r="1" spans="1:12" x14ac:dyDescent="0.25">
      <c r="A1" s="266" t="s">
        <v>149</v>
      </c>
      <c r="B1" s="266"/>
      <c r="C1" s="266"/>
      <c r="D1" s="266"/>
      <c r="E1" s="272" t="s">
        <v>52</v>
      </c>
      <c r="F1" s="272"/>
      <c r="G1" s="272"/>
    </row>
    <row r="2" spans="1:12" x14ac:dyDescent="0.25">
      <c r="A2" s="267" t="s">
        <v>47</v>
      </c>
      <c r="B2" s="267"/>
      <c r="C2" s="267"/>
      <c r="D2" s="267"/>
      <c r="E2" s="2">
        <v>4.9227800000000004</v>
      </c>
      <c r="F2" s="28" t="s">
        <v>8</v>
      </c>
      <c r="G2" s="28"/>
    </row>
    <row r="4" spans="1:12" ht="25.5" x14ac:dyDescent="0.25">
      <c r="A4" s="32" t="s">
        <v>63</v>
      </c>
      <c r="B4" s="29" t="s">
        <v>0</v>
      </c>
      <c r="C4" s="68" t="s">
        <v>1</v>
      </c>
      <c r="D4" s="29" t="s">
        <v>2</v>
      </c>
      <c r="E4" s="12" t="s">
        <v>7</v>
      </c>
      <c r="F4" s="55" t="s">
        <v>150</v>
      </c>
      <c r="G4" s="36" t="s">
        <v>55</v>
      </c>
      <c r="H4" s="36"/>
      <c r="I4" s="35"/>
      <c r="J4" s="35"/>
      <c r="K4" s="35"/>
      <c r="L4" s="35"/>
    </row>
    <row r="5" spans="1:12" x14ac:dyDescent="0.25">
      <c r="A5" s="32">
        <v>1</v>
      </c>
      <c r="B5" s="29">
        <v>389</v>
      </c>
      <c r="C5" s="68">
        <f>368+5</f>
        <v>373</v>
      </c>
      <c r="D5" s="29" t="s">
        <v>3</v>
      </c>
      <c r="E5" s="34">
        <f>C5*E2</f>
        <v>1836.19694</v>
      </c>
      <c r="F5" s="54">
        <f>E5*85%</f>
        <v>1560.7673990000001</v>
      </c>
      <c r="G5" s="35" t="s">
        <v>56</v>
      </c>
      <c r="H5" s="35"/>
      <c r="I5" s="35"/>
      <c r="J5" s="35"/>
      <c r="K5" s="35"/>
      <c r="L5" s="35"/>
    </row>
    <row r="6" spans="1:12" x14ac:dyDescent="0.25">
      <c r="A6" s="32">
        <v>2</v>
      </c>
      <c r="B6" s="29">
        <v>395</v>
      </c>
      <c r="C6" s="68">
        <f>369+5</f>
        <v>374</v>
      </c>
      <c r="D6" s="29" t="s">
        <v>3</v>
      </c>
      <c r="E6" s="34">
        <f>C6*E2</f>
        <v>1841.1197200000001</v>
      </c>
      <c r="F6" s="54">
        <f t="shared" ref="F6:F17" si="0">E6*85%</f>
        <v>1564.9517620000001</v>
      </c>
      <c r="G6" s="35" t="s">
        <v>57</v>
      </c>
      <c r="H6" s="35"/>
      <c r="I6" s="35"/>
      <c r="J6" s="35"/>
      <c r="K6" s="35"/>
      <c r="L6" s="35"/>
    </row>
    <row r="7" spans="1:12" x14ac:dyDescent="0.25">
      <c r="A7" s="32">
        <v>3</v>
      </c>
      <c r="B7" s="29">
        <v>397</v>
      </c>
      <c r="C7" s="68">
        <f>370+5</f>
        <v>375</v>
      </c>
      <c r="D7" s="29" t="s">
        <v>3</v>
      </c>
      <c r="E7" s="34">
        <f>C7*E2</f>
        <v>1846.0425000000002</v>
      </c>
      <c r="F7" s="54">
        <f t="shared" si="0"/>
        <v>1569.1361250000002</v>
      </c>
      <c r="G7" s="35" t="s">
        <v>58</v>
      </c>
      <c r="H7" s="35"/>
      <c r="I7" s="35"/>
      <c r="J7" s="35"/>
      <c r="K7" s="35"/>
      <c r="L7" s="35"/>
    </row>
    <row r="8" spans="1:12" x14ac:dyDescent="0.25">
      <c r="A8" s="32">
        <v>4</v>
      </c>
      <c r="B8" s="29">
        <v>401</v>
      </c>
      <c r="C8" s="68">
        <f>371+5</f>
        <v>376</v>
      </c>
      <c r="D8" s="29" t="s">
        <v>3</v>
      </c>
      <c r="E8" s="34">
        <f>C8*E2</f>
        <v>1850.9652800000001</v>
      </c>
      <c r="F8" s="54">
        <f t="shared" si="0"/>
        <v>1573.3204880000001</v>
      </c>
      <c r="G8" s="35" t="s">
        <v>59</v>
      </c>
      <c r="H8" s="35"/>
      <c r="I8" s="35"/>
      <c r="J8" s="35"/>
      <c r="K8" s="35"/>
      <c r="L8" s="35"/>
    </row>
    <row r="9" spans="1:12" x14ac:dyDescent="0.25">
      <c r="A9" s="32">
        <v>5</v>
      </c>
      <c r="B9" s="29">
        <v>415</v>
      </c>
      <c r="C9" s="68">
        <f>372+5</f>
        <v>377</v>
      </c>
      <c r="D9" s="29" t="s">
        <v>18</v>
      </c>
      <c r="E9" s="34">
        <f>C9*E2</f>
        <v>1855.8880600000002</v>
      </c>
      <c r="F9" s="54">
        <f t="shared" si="0"/>
        <v>1577.5048510000001</v>
      </c>
      <c r="G9" s="35" t="s">
        <v>60</v>
      </c>
      <c r="H9" s="35"/>
      <c r="I9" s="35"/>
      <c r="J9" s="35"/>
      <c r="K9" s="35"/>
      <c r="L9" s="35"/>
    </row>
    <row r="10" spans="1:12" x14ac:dyDescent="0.25">
      <c r="A10" s="32">
        <v>6</v>
      </c>
      <c r="B10" s="29">
        <v>431</v>
      </c>
      <c r="C10" s="68">
        <f>381+5</f>
        <v>386</v>
      </c>
      <c r="D10" s="29" t="s">
        <v>18</v>
      </c>
      <c r="E10" s="34">
        <f>C10*E2</f>
        <v>1900.1930800000002</v>
      </c>
      <c r="F10" s="54">
        <f t="shared" si="0"/>
        <v>1615.1641180000001</v>
      </c>
      <c r="G10" s="35" t="s">
        <v>61</v>
      </c>
      <c r="H10" s="35"/>
      <c r="I10" s="35"/>
      <c r="J10" s="35"/>
      <c r="K10" s="35"/>
      <c r="L10" s="35"/>
    </row>
    <row r="11" spans="1:12" x14ac:dyDescent="0.25">
      <c r="A11" s="32">
        <v>7</v>
      </c>
      <c r="B11" s="29">
        <v>452</v>
      </c>
      <c r="C11" s="68">
        <f>396+5</f>
        <v>401</v>
      </c>
      <c r="D11" s="29" t="s">
        <v>18</v>
      </c>
      <c r="E11" s="34">
        <f>C11*E2</f>
        <v>1974.0347800000002</v>
      </c>
      <c r="F11" s="54">
        <f t="shared" si="0"/>
        <v>1677.9295630000001</v>
      </c>
      <c r="G11" s="35" t="s">
        <v>62</v>
      </c>
      <c r="H11" s="35"/>
      <c r="I11" s="35"/>
      <c r="J11" s="35"/>
      <c r="K11" s="35"/>
      <c r="L11" s="35"/>
    </row>
    <row r="12" spans="1:12" x14ac:dyDescent="0.25">
      <c r="A12" s="32">
        <v>8</v>
      </c>
      <c r="B12" s="29">
        <v>478</v>
      </c>
      <c r="C12" s="68">
        <f>415+5</f>
        <v>420</v>
      </c>
      <c r="D12" s="29" t="s">
        <v>4</v>
      </c>
      <c r="E12" s="34">
        <f>C12*E2</f>
        <v>2067.5676000000003</v>
      </c>
      <c r="F12" s="54">
        <f t="shared" si="0"/>
        <v>1757.4324600000002</v>
      </c>
      <c r="G12" s="35"/>
      <c r="H12" s="35"/>
      <c r="I12" s="35"/>
      <c r="J12" s="35"/>
      <c r="K12" s="35"/>
      <c r="L12" s="35"/>
    </row>
    <row r="13" spans="1:12" x14ac:dyDescent="0.25">
      <c r="A13" s="32">
        <v>9</v>
      </c>
      <c r="B13" s="29">
        <v>500</v>
      </c>
      <c r="C13" s="68">
        <f>431+5</f>
        <v>436</v>
      </c>
      <c r="D13" s="29" t="s">
        <v>4</v>
      </c>
      <c r="E13" s="34">
        <f>C13*E2</f>
        <v>2146.3320800000001</v>
      </c>
      <c r="F13" s="54">
        <f t="shared" si="0"/>
        <v>1824.3822680000001</v>
      </c>
      <c r="G13" s="35"/>
      <c r="H13" s="35"/>
      <c r="I13" s="35"/>
      <c r="J13" s="35"/>
      <c r="K13" s="35"/>
      <c r="L13" s="35"/>
    </row>
    <row r="14" spans="1:12" x14ac:dyDescent="0.25">
      <c r="A14" s="32">
        <v>10</v>
      </c>
      <c r="B14" s="29">
        <v>513</v>
      </c>
      <c r="C14" s="68">
        <f>441+5</f>
        <v>446</v>
      </c>
      <c r="D14" s="29" t="s">
        <v>4</v>
      </c>
      <c r="E14" s="34">
        <f>C14*E2</f>
        <v>2195.5598800000002</v>
      </c>
      <c r="F14" s="54">
        <f t="shared" si="0"/>
        <v>1866.2258980000001</v>
      </c>
      <c r="G14" s="35"/>
      <c r="H14" s="35"/>
      <c r="I14" s="35"/>
      <c r="J14" s="35"/>
      <c r="K14" s="35"/>
      <c r="L14" s="35"/>
    </row>
    <row r="15" spans="1:12" x14ac:dyDescent="0.25">
      <c r="A15" s="32">
        <v>11</v>
      </c>
      <c r="B15" s="29">
        <v>538</v>
      </c>
      <c r="C15" s="68">
        <f>457+5</f>
        <v>462</v>
      </c>
      <c r="D15" s="29" t="s">
        <v>4</v>
      </c>
      <c r="E15" s="34">
        <f>C15*E2</f>
        <v>2274.3243600000001</v>
      </c>
      <c r="F15" s="54">
        <f t="shared" si="0"/>
        <v>1933.175706</v>
      </c>
      <c r="G15" s="35"/>
      <c r="H15" s="35"/>
      <c r="I15" s="35"/>
      <c r="J15" s="35"/>
      <c r="K15" s="35"/>
      <c r="L15" s="35"/>
    </row>
    <row r="16" spans="1:12" x14ac:dyDescent="0.25">
      <c r="A16" s="32">
        <v>12</v>
      </c>
      <c r="B16" s="29">
        <v>563</v>
      </c>
      <c r="C16" s="68">
        <f>477+5</f>
        <v>482</v>
      </c>
      <c r="D16" s="29" t="s">
        <v>5</v>
      </c>
      <c r="E16" s="34">
        <f>C16*E2</f>
        <v>2372.7799600000003</v>
      </c>
      <c r="F16" s="54">
        <f t="shared" si="0"/>
        <v>2016.8629660000001</v>
      </c>
      <c r="G16" s="35"/>
      <c r="H16" s="35"/>
      <c r="I16" s="35"/>
      <c r="J16" s="35"/>
      <c r="K16" s="35"/>
      <c r="L16" s="35"/>
    </row>
    <row r="17" spans="1:12" x14ac:dyDescent="0.25">
      <c r="A17" s="32">
        <v>13</v>
      </c>
      <c r="B17" s="29">
        <v>597</v>
      </c>
      <c r="C17" s="68">
        <f>503+5</f>
        <v>508</v>
      </c>
      <c r="D17" s="29" t="s">
        <v>6</v>
      </c>
      <c r="E17" s="34">
        <f>C17*E2</f>
        <v>2500.7722400000002</v>
      </c>
      <c r="F17" s="54">
        <f t="shared" si="0"/>
        <v>2125.6564040000003</v>
      </c>
      <c r="G17" s="35"/>
      <c r="H17" s="35"/>
      <c r="I17" s="35"/>
      <c r="J17" s="35"/>
      <c r="K17" s="35"/>
      <c r="L17" s="35"/>
    </row>
    <row r="21" spans="1:12" ht="25.5" x14ac:dyDescent="0.25">
      <c r="A21" s="32" t="s">
        <v>73</v>
      </c>
      <c r="B21" s="29" t="s">
        <v>0</v>
      </c>
      <c r="C21" s="68" t="s">
        <v>1</v>
      </c>
      <c r="D21" s="29" t="s">
        <v>2</v>
      </c>
      <c r="E21" s="12" t="s">
        <v>54</v>
      </c>
      <c r="F21" s="55" t="s">
        <v>150</v>
      </c>
      <c r="G21" s="36" t="s">
        <v>64</v>
      </c>
      <c r="H21" s="36"/>
      <c r="I21" s="38"/>
      <c r="J21" s="35"/>
      <c r="K21" s="35"/>
      <c r="L21" s="35"/>
    </row>
    <row r="22" spans="1:12" x14ac:dyDescent="0.25">
      <c r="A22" s="32">
        <v>1</v>
      </c>
      <c r="B22" s="29">
        <v>401</v>
      </c>
      <c r="C22" s="68">
        <f>371+5</f>
        <v>376</v>
      </c>
      <c r="D22" s="29" t="s">
        <v>3</v>
      </c>
      <c r="E22" s="34">
        <f>C22*E2</f>
        <v>1850.9652800000001</v>
      </c>
      <c r="F22" s="54">
        <f>E22*85%</f>
        <v>1573.3204880000001</v>
      </c>
      <c r="G22" s="35" t="s">
        <v>65</v>
      </c>
      <c r="H22" s="35"/>
      <c r="I22" s="35"/>
      <c r="J22" s="35"/>
      <c r="K22" s="35"/>
      <c r="L22" s="35"/>
    </row>
    <row r="23" spans="1:12" x14ac:dyDescent="0.25">
      <c r="A23" s="32">
        <v>2</v>
      </c>
      <c r="B23" s="29">
        <v>415</v>
      </c>
      <c r="C23" s="68">
        <f>372+5</f>
        <v>377</v>
      </c>
      <c r="D23" s="29" t="s">
        <v>3</v>
      </c>
      <c r="E23" s="34">
        <f>C23*E2</f>
        <v>1855.8880600000002</v>
      </c>
      <c r="F23" s="54">
        <f t="shared" ref="F23:F33" si="1">E23*85%</f>
        <v>1577.5048510000001</v>
      </c>
      <c r="G23" s="35" t="s">
        <v>66</v>
      </c>
      <c r="H23" s="35"/>
      <c r="I23" s="35"/>
      <c r="J23" s="35"/>
      <c r="K23" s="35"/>
      <c r="L23" s="35"/>
    </row>
    <row r="24" spans="1:12" x14ac:dyDescent="0.25">
      <c r="A24" s="32">
        <v>3</v>
      </c>
      <c r="B24" s="29">
        <v>429</v>
      </c>
      <c r="C24" s="68">
        <f>379+5</f>
        <v>384</v>
      </c>
      <c r="D24" s="29" t="s">
        <v>18</v>
      </c>
      <c r="E24" s="34">
        <f>C24*E2</f>
        <v>1890.3475200000003</v>
      </c>
      <c r="F24" s="54">
        <f t="shared" si="1"/>
        <v>1606.7953920000002</v>
      </c>
      <c r="G24" s="35" t="s">
        <v>67</v>
      </c>
      <c r="H24" s="35"/>
      <c r="I24" s="35"/>
      <c r="J24" s="35"/>
      <c r="K24" s="35"/>
      <c r="L24" s="35"/>
    </row>
    <row r="25" spans="1:12" x14ac:dyDescent="0.25">
      <c r="A25" s="32">
        <v>4</v>
      </c>
      <c r="B25" s="29">
        <v>444</v>
      </c>
      <c r="C25" s="68">
        <f>390+5</f>
        <v>395</v>
      </c>
      <c r="D25" s="29" t="s">
        <v>18</v>
      </c>
      <c r="E25" s="34">
        <f>C25*E2</f>
        <v>1944.4981000000002</v>
      </c>
      <c r="F25" s="54">
        <f t="shared" si="1"/>
        <v>1652.8233850000001</v>
      </c>
      <c r="G25" s="35" t="s">
        <v>68</v>
      </c>
      <c r="H25" s="35"/>
      <c r="I25" s="35"/>
      <c r="J25" s="35"/>
      <c r="K25" s="35"/>
      <c r="L25" s="35"/>
    </row>
    <row r="26" spans="1:12" x14ac:dyDescent="0.25">
      <c r="A26" s="32">
        <v>5</v>
      </c>
      <c r="B26" s="29">
        <v>458</v>
      </c>
      <c r="C26" s="68">
        <f>401+5</f>
        <v>406</v>
      </c>
      <c r="D26" s="29" t="s">
        <v>18</v>
      </c>
      <c r="E26" s="34">
        <f>C26*E2</f>
        <v>1998.6486800000002</v>
      </c>
      <c r="F26" s="54">
        <f t="shared" si="1"/>
        <v>1698.8513780000001</v>
      </c>
      <c r="G26" s="35" t="s">
        <v>69</v>
      </c>
      <c r="H26" s="35"/>
      <c r="I26" s="35"/>
      <c r="J26" s="35"/>
      <c r="K26" s="35"/>
      <c r="L26" s="35"/>
    </row>
    <row r="27" spans="1:12" x14ac:dyDescent="0.25">
      <c r="A27" s="32">
        <v>6</v>
      </c>
      <c r="B27" s="29">
        <v>480</v>
      </c>
      <c r="C27" s="68">
        <f>416+5</f>
        <v>421</v>
      </c>
      <c r="D27" s="29" t="s">
        <v>18</v>
      </c>
      <c r="E27" s="34">
        <f>C27*E2</f>
        <v>2072.4903800000002</v>
      </c>
      <c r="F27" s="54">
        <f t="shared" si="1"/>
        <v>1761.6168230000001</v>
      </c>
      <c r="G27" s="35" t="s">
        <v>70</v>
      </c>
      <c r="H27" s="35"/>
      <c r="I27" s="35"/>
      <c r="J27" s="35"/>
      <c r="K27" s="35"/>
      <c r="L27" s="35"/>
    </row>
    <row r="28" spans="1:12" x14ac:dyDescent="0.25">
      <c r="A28" s="32">
        <v>7</v>
      </c>
      <c r="B28" s="29">
        <v>506</v>
      </c>
      <c r="C28" s="68">
        <f>436+5</f>
        <v>441</v>
      </c>
      <c r="D28" s="29" t="s">
        <v>4</v>
      </c>
      <c r="E28" s="34">
        <f>C28*E2</f>
        <v>2170.94598</v>
      </c>
      <c r="F28" s="54">
        <f t="shared" si="1"/>
        <v>1845.304083</v>
      </c>
      <c r="G28" s="35" t="s">
        <v>71</v>
      </c>
      <c r="H28" s="35"/>
      <c r="I28" s="35"/>
      <c r="J28" s="35"/>
      <c r="K28" s="35"/>
      <c r="L28" s="35"/>
    </row>
    <row r="29" spans="1:12" x14ac:dyDescent="0.25">
      <c r="A29" s="32">
        <v>8</v>
      </c>
      <c r="B29" s="29">
        <v>528</v>
      </c>
      <c r="C29" s="68">
        <f>452+5</f>
        <v>457</v>
      </c>
      <c r="D29" s="29" t="s">
        <v>4</v>
      </c>
      <c r="E29" s="34">
        <f>C29*E2</f>
        <v>2249.7104600000002</v>
      </c>
      <c r="F29" s="54">
        <f t="shared" si="1"/>
        <v>1912.2538910000001</v>
      </c>
      <c r="G29" s="35" t="s">
        <v>72</v>
      </c>
      <c r="H29" s="35"/>
      <c r="I29" s="35"/>
      <c r="J29" s="35"/>
      <c r="K29" s="35"/>
      <c r="L29" s="35"/>
    </row>
    <row r="30" spans="1:12" x14ac:dyDescent="0.25">
      <c r="A30" s="32">
        <v>9</v>
      </c>
      <c r="B30" s="29">
        <v>542</v>
      </c>
      <c r="C30" s="68">
        <f>461+5</f>
        <v>466</v>
      </c>
      <c r="D30" s="29" t="s">
        <v>4</v>
      </c>
      <c r="E30" s="34">
        <f>C30*E2</f>
        <v>2294.01548</v>
      </c>
      <c r="F30" s="54">
        <f t="shared" si="1"/>
        <v>1949.9131580000001</v>
      </c>
      <c r="G30" s="35"/>
      <c r="H30" s="35"/>
      <c r="I30" s="35"/>
      <c r="J30" s="35"/>
      <c r="K30" s="35"/>
      <c r="L30" s="35"/>
    </row>
    <row r="31" spans="1:12" x14ac:dyDescent="0.25">
      <c r="A31" s="32">
        <v>10</v>
      </c>
      <c r="B31" s="29">
        <v>567</v>
      </c>
      <c r="C31" s="68">
        <f>480+5</f>
        <v>485</v>
      </c>
      <c r="D31" s="29" t="s">
        <v>4</v>
      </c>
      <c r="E31" s="34">
        <f>C31*E2</f>
        <v>2387.5483000000004</v>
      </c>
      <c r="F31" s="54">
        <f t="shared" si="1"/>
        <v>2029.4160550000004</v>
      </c>
      <c r="G31" s="35"/>
      <c r="H31" s="35"/>
      <c r="I31" s="35"/>
      <c r="J31" s="35"/>
      <c r="K31" s="35"/>
      <c r="L31" s="35"/>
    </row>
    <row r="32" spans="1:12" x14ac:dyDescent="0.25">
      <c r="A32" s="32">
        <v>11</v>
      </c>
      <c r="B32" s="29">
        <v>599</v>
      </c>
      <c r="C32" s="68">
        <f>504+5</f>
        <v>509</v>
      </c>
      <c r="D32" s="29" t="s">
        <v>5</v>
      </c>
      <c r="E32" s="34">
        <f>C32*E2</f>
        <v>2505.6950200000001</v>
      </c>
      <c r="F32" s="54">
        <f t="shared" si="1"/>
        <v>2129.8407670000001</v>
      </c>
      <c r="G32" s="35"/>
      <c r="H32" s="35"/>
      <c r="I32" s="35"/>
      <c r="J32" s="35"/>
      <c r="K32" s="35"/>
      <c r="L32" s="35"/>
    </row>
    <row r="33" spans="1:12" x14ac:dyDescent="0.25">
      <c r="A33" s="32">
        <v>12</v>
      </c>
      <c r="B33" s="29">
        <v>638</v>
      </c>
      <c r="C33" s="68">
        <f>534+5</f>
        <v>539</v>
      </c>
      <c r="D33" s="29" t="s">
        <v>6</v>
      </c>
      <c r="E33" s="34">
        <f>C33*E2</f>
        <v>2653.37842</v>
      </c>
      <c r="F33" s="54">
        <f t="shared" si="1"/>
        <v>2255.3716570000001</v>
      </c>
      <c r="G33" s="35"/>
      <c r="H33" s="35"/>
      <c r="I33" s="35"/>
      <c r="J33" s="35"/>
      <c r="K33" s="35"/>
      <c r="L33" s="35"/>
    </row>
    <row r="37" spans="1:12" ht="25.5" x14ac:dyDescent="0.25">
      <c r="A37" s="32" t="s">
        <v>53</v>
      </c>
      <c r="B37" s="29" t="s">
        <v>0</v>
      </c>
      <c r="C37" s="68" t="s">
        <v>1</v>
      </c>
      <c r="D37" s="29" t="s">
        <v>2</v>
      </c>
      <c r="E37" s="12" t="s">
        <v>54</v>
      </c>
      <c r="F37" s="55" t="s">
        <v>150</v>
      </c>
      <c r="G37" s="36" t="s">
        <v>74</v>
      </c>
      <c r="H37" s="36"/>
      <c r="I37" s="35"/>
      <c r="J37" s="35"/>
      <c r="K37" s="35"/>
    </row>
    <row r="38" spans="1:12" x14ac:dyDescent="0.25">
      <c r="A38" s="32">
        <v>1</v>
      </c>
      <c r="B38" s="29">
        <v>446</v>
      </c>
      <c r="C38" s="68">
        <f>392+5</f>
        <v>397</v>
      </c>
      <c r="D38" s="29" t="s">
        <v>3</v>
      </c>
      <c r="E38" s="34">
        <f>C38*E2</f>
        <v>1954.3436600000002</v>
      </c>
      <c r="F38" s="54">
        <f>E38*85%</f>
        <v>1661.1921110000001</v>
      </c>
      <c r="G38" s="35" t="s">
        <v>75</v>
      </c>
      <c r="H38" s="35"/>
      <c r="I38" s="35"/>
      <c r="J38" s="35"/>
      <c r="K38" s="35"/>
    </row>
    <row r="39" spans="1:12" x14ac:dyDescent="0.25">
      <c r="A39" s="32">
        <v>2</v>
      </c>
      <c r="B39" s="29">
        <v>461</v>
      </c>
      <c r="C39" s="68">
        <f>404+5</f>
        <v>409</v>
      </c>
      <c r="D39" s="29" t="s">
        <v>18</v>
      </c>
      <c r="E39" s="34">
        <f>C39*E2</f>
        <v>2013.4170200000001</v>
      </c>
      <c r="F39" s="54">
        <f t="shared" ref="F39:F48" si="2">E39*85%</f>
        <v>1711.4044670000001</v>
      </c>
      <c r="G39" s="35" t="s">
        <v>76</v>
      </c>
      <c r="H39" s="35"/>
      <c r="I39" s="35"/>
      <c r="J39" s="35"/>
      <c r="K39" s="35"/>
    </row>
    <row r="40" spans="1:12" x14ac:dyDescent="0.25">
      <c r="A40" s="32">
        <v>3</v>
      </c>
      <c r="B40" s="29">
        <v>484</v>
      </c>
      <c r="C40" s="68">
        <f>419+5</f>
        <v>424</v>
      </c>
      <c r="D40" s="29" t="s">
        <v>18</v>
      </c>
      <c r="E40" s="34">
        <f>C40*E2</f>
        <v>2087.2587200000003</v>
      </c>
      <c r="F40" s="54">
        <f t="shared" si="2"/>
        <v>1774.1699120000001</v>
      </c>
      <c r="G40" s="35" t="s">
        <v>77</v>
      </c>
      <c r="H40" s="35"/>
      <c r="I40" s="35"/>
      <c r="J40" s="35"/>
      <c r="K40" s="35"/>
    </row>
    <row r="41" spans="1:12" x14ac:dyDescent="0.25">
      <c r="A41" s="32">
        <v>4</v>
      </c>
      <c r="B41" s="29">
        <v>513</v>
      </c>
      <c r="C41" s="68">
        <f>441+5</f>
        <v>446</v>
      </c>
      <c r="D41" s="29" t="s">
        <v>18</v>
      </c>
      <c r="E41" s="34">
        <f>C41*E2</f>
        <v>2195.5598800000002</v>
      </c>
      <c r="F41" s="54">
        <f t="shared" si="2"/>
        <v>1866.2258980000001</v>
      </c>
      <c r="G41" s="35" t="s">
        <v>78</v>
      </c>
      <c r="H41" s="35"/>
      <c r="I41" s="35"/>
      <c r="J41" s="35"/>
      <c r="K41" s="35"/>
    </row>
    <row r="42" spans="1:12" x14ac:dyDescent="0.25">
      <c r="A42" s="32">
        <v>5</v>
      </c>
      <c r="B42" s="29">
        <v>547</v>
      </c>
      <c r="C42" s="68">
        <f>465+5</f>
        <v>470</v>
      </c>
      <c r="D42" s="29" t="s">
        <v>18</v>
      </c>
      <c r="E42" s="34">
        <f>C42*E2</f>
        <v>2313.7066</v>
      </c>
      <c r="F42" s="54">
        <f t="shared" si="2"/>
        <v>1966.6506099999999</v>
      </c>
      <c r="G42" s="35" t="s">
        <v>79</v>
      </c>
      <c r="H42" s="35"/>
      <c r="I42" s="35"/>
      <c r="J42" s="35"/>
      <c r="K42" s="35"/>
    </row>
    <row r="43" spans="1:12" x14ac:dyDescent="0.25">
      <c r="A43" s="32">
        <v>6</v>
      </c>
      <c r="B43" s="29">
        <v>573</v>
      </c>
      <c r="C43" s="68">
        <f>484+5</f>
        <v>489</v>
      </c>
      <c r="D43" s="29" t="s">
        <v>4</v>
      </c>
      <c r="E43" s="34">
        <f>C43*E2</f>
        <v>2407.2394200000003</v>
      </c>
      <c r="F43" s="54">
        <f t="shared" si="2"/>
        <v>2046.1535070000002</v>
      </c>
      <c r="G43" s="35" t="s">
        <v>80</v>
      </c>
      <c r="H43" s="35"/>
      <c r="I43" s="35"/>
      <c r="J43" s="35"/>
      <c r="K43" s="35"/>
    </row>
    <row r="44" spans="1:12" x14ac:dyDescent="0.25">
      <c r="A44" s="32">
        <v>7</v>
      </c>
      <c r="B44" s="29">
        <v>604</v>
      </c>
      <c r="C44" s="68">
        <f>508+5</f>
        <v>513</v>
      </c>
      <c r="D44" s="29" t="s">
        <v>4</v>
      </c>
      <c r="E44" s="34">
        <f>C44*E2</f>
        <v>2525.3861400000001</v>
      </c>
      <c r="F44" s="54">
        <f t="shared" si="2"/>
        <v>2146.578219</v>
      </c>
      <c r="G44" s="35" t="s">
        <v>81</v>
      </c>
      <c r="H44" s="35"/>
      <c r="I44" s="35"/>
      <c r="J44" s="35"/>
      <c r="K44" s="35"/>
    </row>
    <row r="45" spans="1:12" x14ac:dyDescent="0.25">
      <c r="A45" s="32">
        <v>8</v>
      </c>
      <c r="B45" s="29">
        <v>638</v>
      </c>
      <c r="C45" s="68">
        <f>534+5</f>
        <v>539</v>
      </c>
      <c r="D45" s="29" t="s">
        <v>4</v>
      </c>
      <c r="E45" s="34">
        <f>C45*E2</f>
        <v>2653.37842</v>
      </c>
      <c r="F45" s="54">
        <f t="shared" si="2"/>
        <v>2255.3716570000001</v>
      </c>
      <c r="G45" s="35"/>
      <c r="H45" s="35"/>
      <c r="I45" s="35"/>
      <c r="J45" s="35"/>
      <c r="K45" s="35"/>
    </row>
    <row r="46" spans="1:12" x14ac:dyDescent="0.25">
      <c r="A46" s="32">
        <v>9</v>
      </c>
      <c r="B46" s="29">
        <v>660</v>
      </c>
      <c r="C46" s="68">
        <f>551+5</f>
        <v>556</v>
      </c>
      <c r="D46" s="29" t="s">
        <v>4</v>
      </c>
      <c r="E46" s="34">
        <f>C46*E2</f>
        <v>2737.0656800000002</v>
      </c>
      <c r="F46" s="54">
        <f t="shared" si="2"/>
        <v>2326.5058280000003</v>
      </c>
      <c r="G46" s="35"/>
      <c r="H46" s="35"/>
      <c r="I46" s="35"/>
      <c r="J46" s="35"/>
      <c r="K46" s="35"/>
    </row>
    <row r="47" spans="1:12" x14ac:dyDescent="0.25">
      <c r="A47" s="32">
        <v>10</v>
      </c>
      <c r="B47" s="29">
        <v>684</v>
      </c>
      <c r="C47" s="68">
        <f>569+5</f>
        <v>574</v>
      </c>
      <c r="D47" s="29" t="s">
        <v>4</v>
      </c>
      <c r="E47" s="34">
        <f>C47*E2</f>
        <v>2825.6757200000002</v>
      </c>
      <c r="F47" s="54">
        <f t="shared" si="2"/>
        <v>2401.8243620000003</v>
      </c>
      <c r="G47" s="35"/>
      <c r="H47" s="35"/>
      <c r="I47" s="35"/>
      <c r="J47" s="35"/>
      <c r="K47" s="35"/>
    </row>
    <row r="48" spans="1:12" x14ac:dyDescent="0.25">
      <c r="A48" s="32">
        <v>11</v>
      </c>
      <c r="B48" s="29">
        <v>707</v>
      </c>
      <c r="C48" s="68">
        <f>587+5</f>
        <v>592</v>
      </c>
      <c r="D48" s="29" t="s">
        <v>6</v>
      </c>
      <c r="E48" s="34">
        <f>C48*E2</f>
        <v>2914.2857600000002</v>
      </c>
      <c r="F48" s="54">
        <f t="shared" si="2"/>
        <v>2477.1428960000003</v>
      </c>
      <c r="G48" s="35"/>
      <c r="H48" s="35"/>
      <c r="I48" s="35"/>
      <c r="J48" s="35"/>
      <c r="K48" s="35"/>
    </row>
    <row r="52" spans="1:10" ht="25.5" x14ac:dyDescent="0.25">
      <c r="A52" s="32" t="s">
        <v>53</v>
      </c>
      <c r="B52" s="29" t="s">
        <v>0</v>
      </c>
      <c r="C52" s="68" t="s">
        <v>1</v>
      </c>
      <c r="D52" s="29" t="s">
        <v>2</v>
      </c>
      <c r="E52" s="12" t="s">
        <v>54</v>
      </c>
      <c r="F52" s="55" t="s">
        <v>150</v>
      </c>
      <c r="G52" s="36" t="s">
        <v>83</v>
      </c>
      <c r="H52" s="36"/>
      <c r="I52" s="36"/>
      <c r="J52" s="36"/>
    </row>
    <row r="53" spans="1:10" x14ac:dyDescent="0.25">
      <c r="A53" s="32">
        <v>1</v>
      </c>
      <c r="B53" s="29">
        <v>389</v>
      </c>
      <c r="C53" s="68">
        <f>368+5</f>
        <v>373</v>
      </c>
      <c r="D53" s="29" t="s">
        <v>82</v>
      </c>
      <c r="E53" s="34">
        <f>C53*E2</f>
        <v>1836.19694</v>
      </c>
      <c r="F53" s="54">
        <f>E53*85%</f>
        <v>1560.7673990000001</v>
      </c>
      <c r="G53" s="36" t="s">
        <v>84</v>
      </c>
      <c r="H53" s="36"/>
      <c r="I53" s="36"/>
      <c r="J53" s="36"/>
    </row>
    <row r="54" spans="1:10" x14ac:dyDescent="0.25">
      <c r="A54" s="32">
        <v>2</v>
      </c>
      <c r="B54" s="29">
        <v>397</v>
      </c>
      <c r="C54" s="68">
        <f>370+5</f>
        <v>375</v>
      </c>
      <c r="D54" s="29" t="s">
        <v>82</v>
      </c>
      <c r="E54" s="34">
        <f>C54*E2</f>
        <v>1846.0425000000002</v>
      </c>
      <c r="F54" s="54">
        <f t="shared" ref="F54:F63" si="3">E54*85%</f>
        <v>1569.1361250000002</v>
      </c>
      <c r="G54" s="35"/>
      <c r="H54" s="35"/>
      <c r="I54" s="35"/>
      <c r="J54" s="35"/>
    </row>
    <row r="55" spans="1:10" x14ac:dyDescent="0.25">
      <c r="A55" s="32">
        <v>3</v>
      </c>
      <c r="B55" s="29">
        <v>416</v>
      </c>
      <c r="C55" s="68">
        <f>372+5</f>
        <v>377</v>
      </c>
      <c r="D55" s="29" t="s">
        <v>18</v>
      </c>
      <c r="E55" s="34">
        <f>C55*E2</f>
        <v>1855.8880600000002</v>
      </c>
      <c r="F55" s="54">
        <f t="shared" si="3"/>
        <v>1577.5048510000001</v>
      </c>
      <c r="G55" s="35"/>
      <c r="H55" s="35"/>
      <c r="I55" s="35"/>
      <c r="J55" s="35"/>
    </row>
    <row r="56" spans="1:10" x14ac:dyDescent="0.25">
      <c r="A56" s="32">
        <v>4</v>
      </c>
      <c r="B56" s="29">
        <v>434</v>
      </c>
      <c r="C56" s="68">
        <f>383+5</f>
        <v>388</v>
      </c>
      <c r="D56" s="29" t="s">
        <v>18</v>
      </c>
      <c r="E56" s="34">
        <f>C56*E2</f>
        <v>1910.0386400000002</v>
      </c>
      <c r="F56" s="54">
        <f t="shared" si="3"/>
        <v>1623.5328440000001</v>
      </c>
      <c r="G56" s="35"/>
      <c r="H56" s="35"/>
      <c r="I56" s="35"/>
      <c r="J56" s="35"/>
    </row>
    <row r="57" spans="1:10" x14ac:dyDescent="0.25">
      <c r="A57" s="32">
        <v>5</v>
      </c>
      <c r="B57" s="29">
        <v>452</v>
      </c>
      <c r="C57" s="68">
        <f>396+5</f>
        <v>401</v>
      </c>
      <c r="D57" s="29" t="s">
        <v>48</v>
      </c>
      <c r="E57" s="34">
        <f>C57*E2</f>
        <v>1974.0347800000002</v>
      </c>
      <c r="F57" s="54">
        <f t="shared" si="3"/>
        <v>1677.9295630000001</v>
      </c>
      <c r="G57" s="35"/>
      <c r="H57" s="35"/>
      <c r="I57" s="35"/>
      <c r="J57" s="35"/>
    </row>
    <row r="58" spans="1:10" x14ac:dyDescent="0.25">
      <c r="A58" s="32">
        <v>6</v>
      </c>
      <c r="B58" s="29">
        <v>468</v>
      </c>
      <c r="C58" s="68">
        <f>409+5</f>
        <v>414</v>
      </c>
      <c r="D58" s="29" t="s">
        <v>4</v>
      </c>
      <c r="E58" s="34">
        <f>C58*E2</f>
        <v>2038.0309200000002</v>
      </c>
      <c r="F58" s="54">
        <f t="shared" si="3"/>
        <v>1732.326282</v>
      </c>
      <c r="G58" s="35"/>
      <c r="H58" s="35"/>
      <c r="I58" s="35"/>
      <c r="J58" s="35"/>
    </row>
    <row r="59" spans="1:10" x14ac:dyDescent="0.25">
      <c r="A59" s="32">
        <v>7</v>
      </c>
      <c r="B59" s="29">
        <v>491</v>
      </c>
      <c r="C59" s="68">
        <f>424+5</f>
        <v>429</v>
      </c>
      <c r="D59" s="29" t="s">
        <v>4</v>
      </c>
      <c r="E59" s="34">
        <f>C59*E2</f>
        <v>2111.8726200000001</v>
      </c>
      <c r="F59" s="54">
        <f t="shared" si="3"/>
        <v>1795.091727</v>
      </c>
      <c r="G59" s="35"/>
      <c r="H59" s="35"/>
      <c r="I59" s="35"/>
      <c r="J59" s="35"/>
    </row>
    <row r="60" spans="1:10" x14ac:dyDescent="0.25">
      <c r="A60" s="32">
        <v>8</v>
      </c>
      <c r="B60" s="29">
        <v>510</v>
      </c>
      <c r="C60" s="68">
        <f>439+5</f>
        <v>444</v>
      </c>
      <c r="D60" s="29" t="s">
        <v>4</v>
      </c>
      <c r="E60" s="34">
        <f>C60*E2</f>
        <v>2185.71432</v>
      </c>
      <c r="F60" s="54">
        <f t="shared" si="3"/>
        <v>1857.857172</v>
      </c>
      <c r="G60" s="35"/>
      <c r="H60" s="35"/>
      <c r="I60" s="35"/>
      <c r="J60" s="35"/>
    </row>
    <row r="61" spans="1:10" x14ac:dyDescent="0.25">
      <c r="A61" s="32">
        <v>9</v>
      </c>
      <c r="B61" s="29">
        <v>535</v>
      </c>
      <c r="C61" s="68">
        <f>456+5</f>
        <v>461</v>
      </c>
      <c r="D61" s="29" t="s">
        <v>4</v>
      </c>
      <c r="E61" s="34">
        <f>C61*E2</f>
        <v>2269.4015800000002</v>
      </c>
      <c r="F61" s="54">
        <f t="shared" si="3"/>
        <v>1928.9913430000001</v>
      </c>
      <c r="G61" s="35"/>
      <c r="H61" s="35"/>
      <c r="I61" s="35"/>
      <c r="J61" s="35"/>
    </row>
    <row r="62" spans="1:10" x14ac:dyDescent="0.25">
      <c r="A62" s="32">
        <v>10</v>
      </c>
      <c r="B62" s="29">
        <v>567</v>
      </c>
      <c r="C62" s="68">
        <f>480+5</f>
        <v>485</v>
      </c>
      <c r="D62" s="29" t="s">
        <v>5</v>
      </c>
      <c r="E62" s="34">
        <f>C62*E2</f>
        <v>2387.5483000000004</v>
      </c>
      <c r="F62" s="54">
        <f t="shared" si="3"/>
        <v>2029.4160550000004</v>
      </c>
      <c r="G62" s="35"/>
      <c r="H62" s="35"/>
      <c r="I62" s="35"/>
      <c r="J62" s="35"/>
    </row>
    <row r="63" spans="1:10" x14ac:dyDescent="0.25">
      <c r="A63" s="32">
        <v>11</v>
      </c>
      <c r="B63" s="29">
        <v>610</v>
      </c>
      <c r="C63" s="68">
        <f>512+5</f>
        <v>517</v>
      </c>
      <c r="D63" s="29" t="s">
        <v>6</v>
      </c>
      <c r="E63" s="34">
        <f>C63*E2</f>
        <v>2545.07726</v>
      </c>
      <c r="F63" s="54">
        <f t="shared" si="3"/>
        <v>2163.3156709999998</v>
      </c>
      <c r="G63" s="35"/>
      <c r="H63" s="35"/>
      <c r="I63" s="35"/>
      <c r="J63" s="35"/>
    </row>
    <row r="67" spans="1:10" ht="25.5" x14ac:dyDescent="0.25">
      <c r="A67" s="32" t="s">
        <v>53</v>
      </c>
      <c r="B67" s="29" t="s">
        <v>0</v>
      </c>
      <c r="C67" s="68" t="s">
        <v>1</v>
      </c>
      <c r="D67" s="29" t="s">
        <v>2</v>
      </c>
      <c r="E67" s="12" t="s">
        <v>54</v>
      </c>
      <c r="F67" s="55" t="s">
        <v>150</v>
      </c>
      <c r="G67" s="36" t="s">
        <v>85</v>
      </c>
      <c r="H67" s="36"/>
      <c r="I67" s="36"/>
      <c r="J67" s="36"/>
    </row>
    <row r="68" spans="1:10" x14ac:dyDescent="0.25">
      <c r="A68" s="32">
        <v>1</v>
      </c>
      <c r="B68" s="29">
        <v>433</v>
      </c>
      <c r="C68" s="68">
        <f>382+5</f>
        <v>387</v>
      </c>
      <c r="D68" s="29" t="s">
        <v>82</v>
      </c>
      <c r="E68" s="34">
        <v>1880.5</v>
      </c>
      <c r="F68" s="54">
        <f>E68*85%</f>
        <v>1598.425</v>
      </c>
      <c r="G68" s="36" t="s">
        <v>86</v>
      </c>
      <c r="H68" s="36"/>
      <c r="I68" s="36"/>
      <c r="J68" s="36"/>
    </row>
    <row r="69" spans="1:10" x14ac:dyDescent="0.25">
      <c r="A69" s="32">
        <v>2</v>
      </c>
      <c r="B69" s="29">
        <v>449</v>
      </c>
      <c r="C69" s="68">
        <f>394+5</f>
        <v>399</v>
      </c>
      <c r="D69" s="29" t="s">
        <v>18</v>
      </c>
      <c r="E69" s="34">
        <v>1939.58</v>
      </c>
      <c r="F69" s="54">
        <f t="shared" ref="F69:F78" si="4">E69*85%</f>
        <v>1648.6429999999998</v>
      </c>
      <c r="G69" s="35"/>
      <c r="H69" s="35"/>
      <c r="I69" s="35"/>
      <c r="J69" s="35"/>
    </row>
    <row r="70" spans="1:10" x14ac:dyDescent="0.25">
      <c r="A70" s="32">
        <v>3</v>
      </c>
      <c r="B70" s="29">
        <v>464</v>
      </c>
      <c r="C70" s="68">
        <f>406+5</f>
        <v>411</v>
      </c>
      <c r="D70" s="29" t="s">
        <v>18</v>
      </c>
      <c r="E70" s="34">
        <v>1998.65</v>
      </c>
      <c r="F70" s="54">
        <f t="shared" si="4"/>
        <v>1698.8525</v>
      </c>
      <c r="G70" s="35"/>
      <c r="H70" s="35"/>
      <c r="I70" s="35"/>
      <c r="J70" s="35"/>
    </row>
    <row r="71" spans="1:10" x14ac:dyDescent="0.25">
      <c r="A71" s="32">
        <v>4</v>
      </c>
      <c r="B71" s="29">
        <v>484</v>
      </c>
      <c r="C71" s="68">
        <f>419+5</f>
        <v>424</v>
      </c>
      <c r="D71" s="29" t="s">
        <v>18</v>
      </c>
      <c r="E71" s="34">
        <v>2062.65</v>
      </c>
      <c r="F71" s="54">
        <f t="shared" si="4"/>
        <v>1753.2525000000001</v>
      </c>
      <c r="G71" s="35"/>
      <c r="H71" s="35"/>
      <c r="I71" s="35"/>
      <c r="J71" s="35"/>
    </row>
    <row r="72" spans="1:10" x14ac:dyDescent="0.25">
      <c r="A72" s="32">
        <v>5</v>
      </c>
      <c r="B72" s="29">
        <v>508</v>
      </c>
      <c r="C72" s="68">
        <f>437+5</f>
        <v>442</v>
      </c>
      <c r="D72" s="29" t="s">
        <v>18</v>
      </c>
      <c r="E72" s="34">
        <v>2151.2600000000002</v>
      </c>
      <c r="F72" s="54">
        <f t="shared" si="4"/>
        <v>1828.5710000000001</v>
      </c>
      <c r="G72" s="35"/>
      <c r="H72" s="35"/>
      <c r="I72" s="35"/>
      <c r="J72" s="35"/>
    </row>
    <row r="73" spans="1:10" x14ac:dyDescent="0.25">
      <c r="A73" s="32">
        <v>6</v>
      </c>
      <c r="B73" s="29">
        <v>532</v>
      </c>
      <c r="C73" s="68">
        <f>455+5</f>
        <v>460</v>
      </c>
      <c r="D73" s="29" t="s">
        <v>48</v>
      </c>
      <c r="E73" s="34">
        <v>2239.87</v>
      </c>
      <c r="F73" s="54">
        <f t="shared" si="4"/>
        <v>1903.8894999999998</v>
      </c>
      <c r="G73" s="35"/>
      <c r="H73" s="35"/>
      <c r="I73" s="35"/>
      <c r="J73" s="35"/>
    </row>
    <row r="74" spans="1:10" x14ac:dyDescent="0.25">
      <c r="A74" s="32">
        <v>7</v>
      </c>
      <c r="B74" s="29">
        <v>568</v>
      </c>
      <c r="C74" s="68">
        <f>481+5</f>
        <v>486</v>
      </c>
      <c r="D74" s="29" t="s">
        <v>4</v>
      </c>
      <c r="E74" s="34">
        <v>2367.86</v>
      </c>
      <c r="F74" s="54">
        <f t="shared" si="4"/>
        <v>2012.681</v>
      </c>
      <c r="G74" s="35"/>
      <c r="H74" s="35"/>
      <c r="I74" s="35"/>
      <c r="J74" s="35"/>
    </row>
    <row r="75" spans="1:10" x14ac:dyDescent="0.25">
      <c r="A75" s="32">
        <v>8</v>
      </c>
      <c r="B75" s="29">
        <v>585</v>
      </c>
      <c r="C75" s="68">
        <f>494+5</f>
        <v>499</v>
      </c>
      <c r="D75" s="29" t="s">
        <v>4</v>
      </c>
      <c r="E75" s="34">
        <v>2431.85</v>
      </c>
      <c r="F75" s="54">
        <f t="shared" si="4"/>
        <v>2067.0724999999998</v>
      </c>
      <c r="G75" s="35"/>
      <c r="H75" s="35"/>
      <c r="I75" s="35"/>
      <c r="J75" s="35"/>
    </row>
    <row r="76" spans="1:10" x14ac:dyDescent="0.25">
      <c r="A76" s="32">
        <v>9</v>
      </c>
      <c r="B76" s="29">
        <v>612</v>
      </c>
      <c r="C76" s="68">
        <f>514+5</f>
        <v>519</v>
      </c>
      <c r="D76" s="29" t="s">
        <v>4</v>
      </c>
      <c r="E76" s="34">
        <v>2530.31</v>
      </c>
      <c r="F76" s="54">
        <f t="shared" si="4"/>
        <v>2150.7635</v>
      </c>
      <c r="G76" s="35"/>
      <c r="H76" s="35"/>
      <c r="I76" s="35"/>
      <c r="J76" s="35"/>
    </row>
    <row r="77" spans="1:10" x14ac:dyDescent="0.25">
      <c r="A77" s="32">
        <v>10</v>
      </c>
      <c r="B77" s="29">
        <v>638</v>
      </c>
      <c r="C77" s="68">
        <f>534+5</f>
        <v>539</v>
      </c>
      <c r="D77" s="29" t="s">
        <v>5</v>
      </c>
      <c r="E77" s="34">
        <v>2628.77</v>
      </c>
      <c r="F77" s="54">
        <f t="shared" si="4"/>
        <v>2234.4544999999998</v>
      </c>
      <c r="G77" s="35"/>
      <c r="H77" s="35"/>
      <c r="I77" s="35"/>
      <c r="J77" s="35"/>
    </row>
    <row r="78" spans="1:10" x14ac:dyDescent="0.25">
      <c r="A78" s="32">
        <v>11</v>
      </c>
      <c r="B78" s="29">
        <v>665</v>
      </c>
      <c r="C78" s="68">
        <f>555+5</f>
        <v>560</v>
      </c>
      <c r="D78" s="29" t="s">
        <v>6</v>
      </c>
      <c r="E78" s="34">
        <v>2732.14</v>
      </c>
      <c r="F78" s="54">
        <f t="shared" si="4"/>
        <v>2322.319</v>
      </c>
      <c r="G78" s="35"/>
      <c r="H78" s="35"/>
      <c r="I78" s="35"/>
      <c r="J78" s="35"/>
    </row>
  </sheetData>
  <sheetProtection algorithmName="SHA-512" hashValue="WxyS2r0kx9XrDfp+rf79KkI519rmfhzjGTjAbQSgmBdl3f8kUojV21Bcv6fBdQ7K0kpYp8heQen75tR7Hx3XrA==" saltValue="pvTBbB6uZxmm3lTUYVNcug==" spinCount="100000" sheet="1" objects="1" scenarios="1" selectLockedCells="1" selectUnlockedCells="1"/>
  <mergeCells count="3">
    <mergeCell ref="A1:D1"/>
    <mergeCell ref="E1:G1"/>
    <mergeCell ref="A2:D2"/>
  </mergeCells>
  <pageMargins left="0.7" right="0.7" top="0.75" bottom="0.75" header="0.3" footer="0.3"/>
  <pageSetup paperSize="9" scale="62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5"/>
  </sheetPr>
  <dimension ref="A1:J549"/>
  <sheetViews>
    <sheetView showGridLines="0" workbookViewId="0">
      <pane ySplit="2" topLeftCell="A237" activePane="bottomLeft" state="frozen"/>
      <selection pane="bottomLeft" activeCell="F12" sqref="F12"/>
    </sheetView>
  </sheetViews>
  <sheetFormatPr baseColWidth="10" defaultRowHeight="15" x14ac:dyDescent="0.25"/>
  <cols>
    <col min="6" max="6" width="11.42578125" style="63"/>
    <col min="7" max="7" width="13.28515625" customWidth="1"/>
  </cols>
  <sheetData>
    <row r="1" spans="1:8" x14ac:dyDescent="0.25">
      <c r="A1" s="266" t="s">
        <v>149</v>
      </c>
      <c r="B1" s="266"/>
      <c r="C1" s="266"/>
      <c r="D1" s="266"/>
      <c r="E1" s="274" t="s">
        <v>87</v>
      </c>
      <c r="F1" s="274"/>
      <c r="G1" s="274"/>
    </row>
    <row r="2" spans="1:8" x14ac:dyDescent="0.25">
      <c r="A2" s="267" t="s">
        <v>47</v>
      </c>
      <c r="B2" s="267"/>
      <c r="C2" s="267"/>
      <c r="D2" s="267"/>
      <c r="E2" s="2">
        <v>4.9227800000000004</v>
      </c>
      <c r="F2" s="57" t="s">
        <v>8</v>
      </c>
      <c r="G2" s="28"/>
    </row>
    <row r="4" spans="1:8" ht="25.5" x14ac:dyDescent="0.25">
      <c r="A4" s="37" t="s">
        <v>53</v>
      </c>
      <c r="B4" s="29" t="s">
        <v>0</v>
      </c>
      <c r="C4" s="68" t="s">
        <v>1</v>
      </c>
      <c r="D4" s="29" t="s">
        <v>2</v>
      </c>
      <c r="E4" s="12" t="s">
        <v>7</v>
      </c>
      <c r="F4" s="58" t="s">
        <v>150</v>
      </c>
      <c r="G4" s="36" t="s">
        <v>88</v>
      </c>
      <c r="H4" s="36"/>
    </row>
    <row r="5" spans="1:8" x14ac:dyDescent="0.25">
      <c r="A5" s="37">
        <v>1</v>
      </c>
      <c r="B5" s="29">
        <v>444</v>
      </c>
      <c r="C5" s="68">
        <f>390+5</f>
        <v>395</v>
      </c>
      <c r="D5" s="29" t="s">
        <v>82</v>
      </c>
      <c r="E5" s="34">
        <f>C5*E2</f>
        <v>1944.4981000000002</v>
      </c>
      <c r="F5" s="59">
        <f>E5*85%</f>
        <v>1652.8233850000001</v>
      </c>
      <c r="G5" s="35"/>
      <c r="H5" s="35"/>
    </row>
    <row r="6" spans="1:8" x14ac:dyDescent="0.25">
      <c r="A6" s="37">
        <v>2</v>
      </c>
      <c r="B6" s="29">
        <v>469</v>
      </c>
      <c r="C6" s="68">
        <f>410+5</f>
        <v>415</v>
      </c>
      <c r="D6" s="29" t="s">
        <v>18</v>
      </c>
      <c r="E6" s="34">
        <f>C6*E2</f>
        <v>2042.9537000000003</v>
      </c>
      <c r="F6" s="59">
        <f t="shared" ref="F6:F15" si="0">E6*85%</f>
        <v>1736.5106450000001</v>
      </c>
      <c r="G6" s="35"/>
      <c r="H6" s="35"/>
    </row>
    <row r="7" spans="1:8" x14ac:dyDescent="0.25">
      <c r="A7" s="37">
        <v>3</v>
      </c>
      <c r="B7" s="29">
        <v>499</v>
      </c>
      <c r="C7" s="68">
        <f>430+5</f>
        <v>435</v>
      </c>
      <c r="D7" s="29" t="s">
        <v>18</v>
      </c>
      <c r="E7" s="34">
        <f>C7*E2</f>
        <v>2141.4093000000003</v>
      </c>
      <c r="F7" s="59">
        <f t="shared" si="0"/>
        <v>1820.1979050000002</v>
      </c>
      <c r="G7" s="35"/>
      <c r="H7" s="35"/>
    </row>
    <row r="8" spans="1:8" x14ac:dyDescent="0.25">
      <c r="A8" s="37">
        <v>4</v>
      </c>
      <c r="B8" s="29">
        <v>525</v>
      </c>
      <c r="C8" s="68">
        <f>450+5</f>
        <v>455</v>
      </c>
      <c r="D8" s="29" t="s">
        <v>18</v>
      </c>
      <c r="E8" s="34">
        <f>C8*E2</f>
        <v>2239.8649</v>
      </c>
      <c r="F8" s="59">
        <f t="shared" si="0"/>
        <v>1903.8851649999999</v>
      </c>
      <c r="G8" s="35"/>
      <c r="H8" s="35"/>
    </row>
    <row r="9" spans="1:8" x14ac:dyDescent="0.25">
      <c r="A9" s="37">
        <v>5</v>
      </c>
      <c r="B9" s="29">
        <v>567</v>
      </c>
      <c r="C9" s="68">
        <f>480+5</f>
        <v>485</v>
      </c>
      <c r="D9" s="29" t="s">
        <v>48</v>
      </c>
      <c r="E9" s="34">
        <f>C9*E2</f>
        <v>2387.5483000000004</v>
      </c>
      <c r="F9" s="59">
        <f t="shared" si="0"/>
        <v>2029.4160550000004</v>
      </c>
      <c r="G9" s="35"/>
      <c r="H9" s="35"/>
    </row>
    <row r="10" spans="1:8" x14ac:dyDescent="0.25">
      <c r="A10" s="37">
        <v>6</v>
      </c>
      <c r="B10" s="29">
        <v>611</v>
      </c>
      <c r="C10" s="68">
        <f>513+5</f>
        <v>518</v>
      </c>
      <c r="D10" s="29" t="s">
        <v>4</v>
      </c>
      <c r="E10" s="34">
        <f>C10*E2</f>
        <v>2550.0000400000004</v>
      </c>
      <c r="F10" s="59">
        <f t="shared" si="0"/>
        <v>2167.5000340000001</v>
      </c>
      <c r="G10" s="35"/>
      <c r="H10" s="35"/>
    </row>
    <row r="11" spans="1:8" x14ac:dyDescent="0.25">
      <c r="A11" s="37">
        <v>7</v>
      </c>
      <c r="B11" s="29">
        <v>653</v>
      </c>
      <c r="C11" s="68">
        <f>545+5</f>
        <v>550</v>
      </c>
      <c r="D11" s="29" t="s">
        <v>4</v>
      </c>
      <c r="E11" s="34">
        <f>C11*E2</f>
        <v>2707.529</v>
      </c>
      <c r="F11" s="59">
        <f t="shared" si="0"/>
        <v>2301.3996499999998</v>
      </c>
      <c r="G11" s="35"/>
      <c r="H11" s="35"/>
    </row>
    <row r="12" spans="1:8" x14ac:dyDescent="0.25">
      <c r="A12" s="37">
        <v>8</v>
      </c>
      <c r="B12" s="29">
        <v>693</v>
      </c>
      <c r="C12" s="68">
        <f>575+5</f>
        <v>580</v>
      </c>
      <c r="D12" s="29" t="s">
        <v>4</v>
      </c>
      <c r="E12" s="34">
        <f>C12*E2</f>
        <v>2855.2124000000003</v>
      </c>
      <c r="F12" s="59">
        <f t="shared" si="0"/>
        <v>2426.9305400000003</v>
      </c>
      <c r="G12" s="35"/>
      <c r="H12" s="35"/>
    </row>
    <row r="13" spans="1:8" x14ac:dyDescent="0.25">
      <c r="A13" s="37">
        <v>9</v>
      </c>
      <c r="B13" s="29">
        <v>732</v>
      </c>
      <c r="C13" s="68">
        <f>605+5</f>
        <v>610</v>
      </c>
      <c r="D13" s="29" t="s">
        <v>4</v>
      </c>
      <c r="E13" s="34">
        <f>C13*E2</f>
        <v>3002.8958000000002</v>
      </c>
      <c r="F13" s="59">
        <f t="shared" si="0"/>
        <v>2552.4614300000003</v>
      </c>
      <c r="G13" s="35"/>
      <c r="H13" s="35"/>
    </row>
    <row r="14" spans="1:8" x14ac:dyDescent="0.25">
      <c r="A14" s="37">
        <v>10</v>
      </c>
      <c r="B14" s="29">
        <v>778</v>
      </c>
      <c r="C14" s="68">
        <f>640+5</f>
        <v>645</v>
      </c>
      <c r="D14" s="29" t="s">
        <v>5</v>
      </c>
      <c r="E14" s="34">
        <f>C14*E2</f>
        <v>3175.1931000000004</v>
      </c>
      <c r="F14" s="59">
        <f t="shared" si="0"/>
        <v>2698.9141350000004</v>
      </c>
      <c r="G14" s="38"/>
      <c r="H14" s="35"/>
    </row>
    <row r="15" spans="1:8" x14ac:dyDescent="0.25">
      <c r="A15" s="37">
        <v>11</v>
      </c>
      <c r="B15" s="29">
        <v>821</v>
      </c>
      <c r="C15" s="68">
        <f>673+5</f>
        <v>678</v>
      </c>
      <c r="D15" s="29" t="s">
        <v>6</v>
      </c>
      <c r="E15" s="34">
        <f>C15*E2</f>
        <v>3337.6448400000004</v>
      </c>
      <c r="F15" s="59">
        <f t="shared" si="0"/>
        <v>2836.9981140000004</v>
      </c>
      <c r="G15" s="35"/>
      <c r="H15" s="35"/>
    </row>
    <row r="19" spans="1:10" ht="25.5" x14ac:dyDescent="0.25">
      <c r="A19" s="37" t="s">
        <v>53</v>
      </c>
      <c r="B19" s="29" t="s">
        <v>0</v>
      </c>
      <c r="C19" s="68" t="s">
        <v>1</v>
      </c>
      <c r="D19" s="29" t="s">
        <v>2</v>
      </c>
      <c r="E19" s="12" t="s">
        <v>7</v>
      </c>
      <c r="F19" s="58" t="s">
        <v>150</v>
      </c>
      <c r="G19" s="273" t="s">
        <v>89</v>
      </c>
      <c r="H19" s="273"/>
      <c r="I19" s="273"/>
      <c r="J19" s="56"/>
    </row>
    <row r="20" spans="1:10" x14ac:dyDescent="0.25">
      <c r="A20" s="37">
        <v>1</v>
      </c>
      <c r="B20" s="29">
        <v>593</v>
      </c>
      <c r="C20" s="68">
        <f>500+5</f>
        <v>505</v>
      </c>
      <c r="D20" s="29" t="s">
        <v>18</v>
      </c>
      <c r="E20" s="34">
        <f>C20*E2</f>
        <v>2486.0039000000002</v>
      </c>
      <c r="F20" s="59">
        <f>E20*85%</f>
        <v>2113.1033150000003</v>
      </c>
      <c r="G20" s="35"/>
      <c r="H20" s="35"/>
      <c r="I20" s="35"/>
      <c r="J20" s="35"/>
    </row>
    <row r="21" spans="1:10" x14ac:dyDescent="0.25">
      <c r="A21" s="37">
        <v>2</v>
      </c>
      <c r="B21" s="29">
        <v>639</v>
      </c>
      <c r="C21" s="68">
        <f>535+5</f>
        <v>540</v>
      </c>
      <c r="D21" s="29" t="s">
        <v>18</v>
      </c>
      <c r="E21" s="34">
        <f>C21*E2</f>
        <v>2658.3012000000003</v>
      </c>
      <c r="F21" s="59">
        <f t="shared" ref="F21:F29" si="1">E21*85%</f>
        <v>2259.5560200000004</v>
      </c>
      <c r="G21" s="35"/>
      <c r="H21" s="35"/>
    </row>
    <row r="22" spans="1:10" x14ac:dyDescent="0.25">
      <c r="A22" s="37">
        <v>3</v>
      </c>
      <c r="B22" s="29">
        <v>693</v>
      </c>
      <c r="C22" s="68">
        <f>575+5</f>
        <v>580</v>
      </c>
      <c r="D22" s="29" t="s">
        <v>18</v>
      </c>
      <c r="E22" s="34">
        <f>C22*E2</f>
        <v>2855.2124000000003</v>
      </c>
      <c r="F22" s="59">
        <f t="shared" si="1"/>
        <v>2426.9305400000003</v>
      </c>
      <c r="G22" s="35"/>
      <c r="H22" s="35"/>
    </row>
    <row r="23" spans="1:10" x14ac:dyDescent="0.25">
      <c r="A23" s="37">
        <v>4</v>
      </c>
      <c r="B23" s="29">
        <v>732</v>
      </c>
      <c r="C23" s="68">
        <f>605+5</f>
        <v>610</v>
      </c>
      <c r="D23" s="29" t="s">
        <v>18</v>
      </c>
      <c r="E23" s="34">
        <f>C23*E2</f>
        <v>3002.8958000000002</v>
      </c>
      <c r="F23" s="59">
        <f t="shared" si="1"/>
        <v>2552.4614300000003</v>
      </c>
      <c r="G23" s="35"/>
      <c r="H23" s="35"/>
    </row>
    <row r="24" spans="1:10" x14ac:dyDescent="0.25">
      <c r="A24" s="37">
        <v>5</v>
      </c>
      <c r="B24" s="29">
        <v>791</v>
      </c>
      <c r="C24" s="68">
        <f>650+5</f>
        <v>655</v>
      </c>
      <c r="D24" s="29" t="s">
        <v>18</v>
      </c>
      <c r="E24" s="34">
        <f>C24*E2</f>
        <v>3224.4209000000001</v>
      </c>
      <c r="F24" s="59">
        <f t="shared" si="1"/>
        <v>2740.7577649999998</v>
      </c>
      <c r="G24" s="35"/>
      <c r="H24" s="35"/>
    </row>
    <row r="25" spans="1:10" x14ac:dyDescent="0.25">
      <c r="A25" s="37">
        <v>6</v>
      </c>
      <c r="B25" s="29">
        <v>843</v>
      </c>
      <c r="C25" s="68">
        <f>690+5</f>
        <v>695</v>
      </c>
      <c r="D25" s="29" t="s">
        <v>48</v>
      </c>
      <c r="E25" s="34">
        <f>C25*E2</f>
        <v>3421.3321000000001</v>
      </c>
      <c r="F25" s="59">
        <f t="shared" si="1"/>
        <v>2908.1322850000001</v>
      </c>
      <c r="G25" s="35"/>
      <c r="H25" s="35"/>
    </row>
    <row r="26" spans="1:10" x14ac:dyDescent="0.25">
      <c r="A26" s="37">
        <v>7</v>
      </c>
      <c r="B26" s="29">
        <v>896</v>
      </c>
      <c r="C26" s="68">
        <f>730+5</f>
        <v>735</v>
      </c>
      <c r="D26" s="29" t="s">
        <v>48</v>
      </c>
      <c r="E26" s="34">
        <f>C26*E2</f>
        <v>3618.2433000000001</v>
      </c>
      <c r="F26" s="59">
        <f t="shared" si="1"/>
        <v>3075.506805</v>
      </c>
      <c r="G26" s="35"/>
      <c r="H26" s="35"/>
    </row>
    <row r="27" spans="1:10" x14ac:dyDescent="0.25">
      <c r="A27" s="37">
        <v>8</v>
      </c>
      <c r="B27" s="29">
        <v>946</v>
      </c>
      <c r="C27" s="68">
        <f>768+5</f>
        <v>773</v>
      </c>
      <c r="D27" s="29" t="s">
        <v>4</v>
      </c>
      <c r="E27" s="34">
        <f>C27*E2</f>
        <v>3805.3089400000003</v>
      </c>
      <c r="F27" s="59">
        <f t="shared" si="1"/>
        <v>3234.5125990000001</v>
      </c>
      <c r="G27" s="35"/>
      <c r="H27" s="35"/>
    </row>
    <row r="28" spans="1:10" x14ac:dyDescent="0.25">
      <c r="A28" s="37">
        <v>9</v>
      </c>
      <c r="B28" s="29">
        <v>995</v>
      </c>
      <c r="C28" s="68">
        <f>806+5</f>
        <v>811</v>
      </c>
      <c r="D28" s="29" t="s">
        <v>4</v>
      </c>
      <c r="E28" s="34">
        <f>C28*E2</f>
        <v>3992.3745800000002</v>
      </c>
      <c r="F28" s="59">
        <f t="shared" si="1"/>
        <v>3393.5183929999998</v>
      </c>
      <c r="G28" s="35"/>
      <c r="H28" s="35"/>
    </row>
    <row r="29" spans="1:10" x14ac:dyDescent="0.25">
      <c r="A29" s="37">
        <v>10</v>
      </c>
      <c r="B29" s="29">
        <v>1015</v>
      </c>
      <c r="C29" s="68">
        <f>821+5</f>
        <v>826</v>
      </c>
      <c r="D29" s="29" t="s">
        <v>6</v>
      </c>
      <c r="E29" s="34">
        <f>C29*E2</f>
        <v>4066.2162800000001</v>
      </c>
      <c r="F29" s="59">
        <f t="shared" si="1"/>
        <v>3456.2838379999998</v>
      </c>
      <c r="G29" s="35"/>
      <c r="H29" s="35"/>
    </row>
    <row r="32" spans="1:10" x14ac:dyDescent="0.25">
      <c r="F32" s="60"/>
      <c r="G32" s="35"/>
      <c r="H32" s="35"/>
    </row>
    <row r="33" spans="1:9" ht="25.5" x14ac:dyDescent="0.25">
      <c r="A33" s="37" t="s">
        <v>53</v>
      </c>
      <c r="B33" s="29" t="s">
        <v>0</v>
      </c>
      <c r="C33" s="68" t="s">
        <v>1</v>
      </c>
      <c r="D33" s="29" t="s">
        <v>2</v>
      </c>
      <c r="E33" s="12" t="s">
        <v>7</v>
      </c>
      <c r="F33" s="58" t="s">
        <v>150</v>
      </c>
      <c r="G33" s="273" t="s">
        <v>92</v>
      </c>
      <c r="H33" s="273"/>
      <c r="I33" s="273"/>
    </row>
    <row r="34" spans="1:9" x14ac:dyDescent="0.25">
      <c r="A34" s="37">
        <v>1</v>
      </c>
      <c r="B34" s="29">
        <v>797</v>
      </c>
      <c r="C34" s="68">
        <f>655+5</f>
        <v>660</v>
      </c>
      <c r="D34" s="29" t="s">
        <v>18</v>
      </c>
      <c r="E34" s="34">
        <f>C34*E2</f>
        <v>3249.0348000000004</v>
      </c>
      <c r="F34" s="59">
        <f>E34*85%</f>
        <v>2761.6795800000004</v>
      </c>
      <c r="G34" s="35"/>
      <c r="H34" s="35"/>
    </row>
    <row r="35" spans="1:9" x14ac:dyDescent="0.25">
      <c r="A35" s="37">
        <v>2</v>
      </c>
      <c r="B35" s="29">
        <v>850</v>
      </c>
      <c r="C35" s="68">
        <f>695+5</f>
        <v>700</v>
      </c>
      <c r="D35" s="29" t="s">
        <v>18</v>
      </c>
      <c r="E35" s="34">
        <f>C35*E2</f>
        <v>3445.9460000000004</v>
      </c>
      <c r="F35" s="59">
        <f t="shared" ref="F35:F40" si="2">E35*85%</f>
        <v>2929.0541000000003</v>
      </c>
      <c r="G35" s="35"/>
      <c r="H35" s="35"/>
    </row>
    <row r="36" spans="1:9" x14ac:dyDescent="0.25">
      <c r="A36" s="37">
        <v>3</v>
      </c>
      <c r="B36" s="29">
        <v>896</v>
      </c>
      <c r="C36" s="68">
        <f>730+5</f>
        <v>735</v>
      </c>
      <c r="D36" s="29" t="s">
        <v>18</v>
      </c>
      <c r="E36" s="34">
        <f>C36*E2</f>
        <v>3618.2433000000001</v>
      </c>
      <c r="F36" s="59">
        <f t="shared" si="2"/>
        <v>3075.506805</v>
      </c>
      <c r="G36" s="35"/>
      <c r="H36" s="35"/>
    </row>
    <row r="37" spans="1:9" x14ac:dyDescent="0.25">
      <c r="A37" s="37">
        <v>4</v>
      </c>
      <c r="B37" s="29">
        <v>946</v>
      </c>
      <c r="C37" s="68">
        <f>768+5</f>
        <v>773</v>
      </c>
      <c r="D37" s="29" t="s">
        <v>48</v>
      </c>
      <c r="E37" s="34">
        <f>C37*E2</f>
        <v>3805.3089400000003</v>
      </c>
      <c r="F37" s="59">
        <f t="shared" si="2"/>
        <v>3234.5125990000001</v>
      </c>
      <c r="G37" s="35"/>
      <c r="H37" s="35"/>
    </row>
    <row r="38" spans="1:9" x14ac:dyDescent="0.25">
      <c r="A38" s="37">
        <v>5</v>
      </c>
      <c r="B38" s="29">
        <v>995</v>
      </c>
      <c r="C38" s="68">
        <f>806+5</f>
        <v>811</v>
      </c>
      <c r="D38" s="29" t="s">
        <v>4</v>
      </c>
      <c r="E38" s="34">
        <f>C38*E2</f>
        <v>3992.3745800000002</v>
      </c>
      <c r="F38" s="59">
        <f t="shared" si="2"/>
        <v>3393.5183929999998</v>
      </c>
      <c r="G38" s="35"/>
      <c r="H38" s="35"/>
    </row>
    <row r="39" spans="1:9" x14ac:dyDescent="0.25">
      <c r="A39" s="37">
        <v>6</v>
      </c>
      <c r="B39" s="29">
        <v>1027</v>
      </c>
      <c r="C39" s="68">
        <f>830+5</f>
        <v>835</v>
      </c>
      <c r="D39" s="29" t="s">
        <v>6</v>
      </c>
      <c r="E39" s="34">
        <f>C39*E2</f>
        <v>4110.5213000000003</v>
      </c>
      <c r="F39" s="59">
        <f t="shared" si="2"/>
        <v>3493.9431050000003</v>
      </c>
      <c r="G39" s="35"/>
      <c r="H39" s="35"/>
    </row>
    <row r="40" spans="1:9" x14ac:dyDescent="0.25">
      <c r="A40" s="37" t="s">
        <v>90</v>
      </c>
      <c r="B40" s="29" t="s">
        <v>91</v>
      </c>
      <c r="C40" s="68">
        <f>890+5</f>
        <v>895</v>
      </c>
      <c r="D40" s="29" t="s">
        <v>6</v>
      </c>
      <c r="E40" s="34">
        <f>C40*E2</f>
        <v>4405.8881000000001</v>
      </c>
      <c r="F40" s="59">
        <f t="shared" si="2"/>
        <v>3745.0048849999998</v>
      </c>
      <c r="G40" s="45"/>
      <c r="H40" s="45"/>
    </row>
    <row r="44" spans="1:9" ht="25.5" x14ac:dyDescent="0.25">
      <c r="A44" s="37" t="s">
        <v>53</v>
      </c>
      <c r="B44" s="29" t="s">
        <v>0</v>
      </c>
      <c r="C44" s="68" t="s">
        <v>1</v>
      </c>
      <c r="D44" s="29" t="s">
        <v>2</v>
      </c>
      <c r="E44" s="12" t="s">
        <v>7</v>
      </c>
      <c r="F44" s="58" t="s">
        <v>150</v>
      </c>
      <c r="G44" s="40" t="s">
        <v>93</v>
      </c>
    </row>
    <row r="45" spans="1:9" x14ac:dyDescent="0.25">
      <c r="A45" s="37">
        <v>1</v>
      </c>
      <c r="B45" s="29">
        <v>444</v>
      </c>
      <c r="C45" s="68">
        <f>390+5</f>
        <v>395</v>
      </c>
      <c r="D45" s="29" t="s">
        <v>82</v>
      </c>
      <c r="E45" s="34">
        <f>C45*E2</f>
        <v>1944.4981000000002</v>
      </c>
      <c r="F45" s="61">
        <f>E45*85%</f>
        <v>1652.8233850000001</v>
      </c>
    </row>
    <row r="46" spans="1:9" x14ac:dyDescent="0.25">
      <c r="A46" s="37">
        <v>2</v>
      </c>
      <c r="B46" s="29">
        <v>484</v>
      </c>
      <c r="C46" s="68">
        <f>419+5</f>
        <v>424</v>
      </c>
      <c r="D46" s="29" t="s">
        <v>18</v>
      </c>
      <c r="E46" s="34">
        <f>C46*E2</f>
        <v>2087.2587200000003</v>
      </c>
      <c r="F46" s="61">
        <f t="shared" ref="F46:F54" si="3">E46*85%</f>
        <v>1774.1699120000001</v>
      </c>
    </row>
    <row r="47" spans="1:9" x14ac:dyDescent="0.25">
      <c r="A47" s="37">
        <v>3</v>
      </c>
      <c r="B47" s="29">
        <v>518</v>
      </c>
      <c r="C47" s="68">
        <f>445+5</f>
        <v>450</v>
      </c>
      <c r="D47" s="29" t="s">
        <v>18</v>
      </c>
      <c r="E47" s="34">
        <f>C47*E2</f>
        <v>2215.2510000000002</v>
      </c>
      <c r="F47" s="61">
        <f t="shared" si="3"/>
        <v>1882.9633500000002</v>
      </c>
    </row>
    <row r="48" spans="1:9" x14ac:dyDescent="0.25">
      <c r="A48" s="37">
        <v>4</v>
      </c>
      <c r="B48" s="29">
        <v>565</v>
      </c>
      <c r="C48" s="68">
        <f>478+5</f>
        <v>483</v>
      </c>
      <c r="D48" s="29" t="s">
        <v>48</v>
      </c>
      <c r="E48" s="34">
        <f>C48*E2</f>
        <v>2377.7027400000002</v>
      </c>
      <c r="F48" s="61">
        <f t="shared" si="3"/>
        <v>2021.047329</v>
      </c>
    </row>
    <row r="49" spans="1:7" x14ac:dyDescent="0.25">
      <c r="A49" s="37">
        <v>5</v>
      </c>
      <c r="B49" s="29">
        <v>611</v>
      </c>
      <c r="C49" s="68">
        <f>513+5</f>
        <v>518</v>
      </c>
      <c r="D49" s="29" t="s">
        <v>4</v>
      </c>
      <c r="E49" s="34">
        <f>C49*E2</f>
        <v>2550.0000400000004</v>
      </c>
      <c r="F49" s="61">
        <f t="shared" si="3"/>
        <v>2167.5000340000001</v>
      </c>
    </row>
    <row r="50" spans="1:7" x14ac:dyDescent="0.25">
      <c r="A50" s="37">
        <v>6</v>
      </c>
      <c r="B50" s="29">
        <v>646</v>
      </c>
      <c r="C50" s="68">
        <f>540+5</f>
        <v>545</v>
      </c>
      <c r="D50" s="29" t="s">
        <v>5</v>
      </c>
      <c r="E50" s="34">
        <f>C50*E2</f>
        <v>2682.9151000000002</v>
      </c>
      <c r="F50" s="61">
        <f t="shared" si="3"/>
        <v>2280.4778350000001</v>
      </c>
    </row>
    <row r="51" spans="1:7" x14ac:dyDescent="0.25">
      <c r="A51" s="37">
        <v>7</v>
      </c>
      <c r="B51" s="29">
        <v>697</v>
      </c>
      <c r="C51" s="68">
        <f>578+5</f>
        <v>583</v>
      </c>
      <c r="D51" s="29" t="s">
        <v>5</v>
      </c>
      <c r="E51" s="34">
        <f>C51*E2</f>
        <v>2869.9807400000004</v>
      </c>
      <c r="F51" s="61">
        <f t="shared" si="3"/>
        <v>2439.4836290000003</v>
      </c>
    </row>
    <row r="52" spans="1:7" x14ac:dyDescent="0.25">
      <c r="A52" s="37">
        <v>8</v>
      </c>
      <c r="B52" s="29">
        <v>739</v>
      </c>
      <c r="C52" s="68">
        <f>610+5</f>
        <v>615</v>
      </c>
      <c r="D52" s="29" t="s">
        <v>5</v>
      </c>
      <c r="E52" s="34">
        <f>C52*E2</f>
        <v>3027.5097000000001</v>
      </c>
      <c r="F52" s="61">
        <f t="shared" si="3"/>
        <v>2573.383245</v>
      </c>
    </row>
    <row r="53" spans="1:7" x14ac:dyDescent="0.25">
      <c r="A53" s="37">
        <v>9</v>
      </c>
      <c r="B53" s="29">
        <v>774</v>
      </c>
      <c r="C53" s="68">
        <f>637+5</f>
        <v>642</v>
      </c>
      <c r="D53" s="29" t="s">
        <v>5</v>
      </c>
      <c r="E53" s="34">
        <f>C53*E2</f>
        <v>3160.4247600000003</v>
      </c>
      <c r="F53" s="61">
        <f t="shared" si="3"/>
        <v>2686.361046</v>
      </c>
    </row>
    <row r="54" spans="1:7" x14ac:dyDescent="0.25">
      <c r="A54" s="37">
        <v>10</v>
      </c>
      <c r="B54" s="29">
        <v>821</v>
      </c>
      <c r="C54" s="68">
        <f>673+5</f>
        <v>678</v>
      </c>
      <c r="D54" s="29" t="s">
        <v>6</v>
      </c>
      <c r="E54" s="34">
        <f>C54*E2</f>
        <v>3337.6448400000004</v>
      </c>
      <c r="F54" s="61">
        <f t="shared" si="3"/>
        <v>2836.9981140000004</v>
      </c>
    </row>
    <row r="58" spans="1:7" ht="25.5" x14ac:dyDescent="0.25">
      <c r="A58" s="37" t="s">
        <v>53</v>
      </c>
      <c r="B58" s="29" t="s">
        <v>0</v>
      </c>
      <c r="C58" s="68" t="s">
        <v>1</v>
      </c>
      <c r="D58" s="29" t="s">
        <v>2</v>
      </c>
      <c r="E58" s="12" t="s">
        <v>7</v>
      </c>
      <c r="F58" s="58" t="s">
        <v>150</v>
      </c>
      <c r="G58" s="40" t="s">
        <v>94</v>
      </c>
    </row>
    <row r="59" spans="1:7" x14ac:dyDescent="0.25">
      <c r="A59" s="37">
        <v>1</v>
      </c>
      <c r="B59" s="29">
        <v>619</v>
      </c>
      <c r="C59" s="68">
        <f>519+5</f>
        <v>524</v>
      </c>
      <c r="D59" s="29" t="s">
        <v>18</v>
      </c>
      <c r="E59" s="34">
        <f>C59*E2</f>
        <v>2579.5367200000001</v>
      </c>
      <c r="F59" s="61">
        <f>E59*85%</f>
        <v>2192.6062120000001</v>
      </c>
    </row>
    <row r="60" spans="1:7" x14ac:dyDescent="0.25">
      <c r="A60" s="37">
        <v>2</v>
      </c>
      <c r="B60" s="29">
        <v>665</v>
      </c>
      <c r="C60" s="68">
        <f>555+5</f>
        <v>560</v>
      </c>
      <c r="D60" s="29" t="s">
        <v>48</v>
      </c>
      <c r="E60" s="34">
        <f>C60*E2</f>
        <v>2756.7568000000001</v>
      </c>
      <c r="F60" s="61">
        <f t="shared" ref="F60:F67" si="4">E60*85%</f>
        <v>2343.2432800000001</v>
      </c>
    </row>
    <row r="61" spans="1:7" x14ac:dyDescent="0.25">
      <c r="A61" s="37">
        <v>3</v>
      </c>
      <c r="B61" s="29">
        <v>721</v>
      </c>
      <c r="C61" s="68">
        <f>597+5</f>
        <v>602</v>
      </c>
      <c r="D61" s="29" t="s">
        <v>4</v>
      </c>
      <c r="E61" s="34">
        <f>C61*E2</f>
        <v>2963.5135600000003</v>
      </c>
      <c r="F61" s="61">
        <f t="shared" si="4"/>
        <v>2518.9865260000001</v>
      </c>
    </row>
    <row r="62" spans="1:7" x14ac:dyDescent="0.25">
      <c r="A62" s="37">
        <v>4</v>
      </c>
      <c r="B62" s="29">
        <v>791</v>
      </c>
      <c r="C62" s="68">
        <f>650+5</f>
        <v>655</v>
      </c>
      <c r="D62" s="29" t="s">
        <v>4</v>
      </c>
      <c r="E62" s="34">
        <f>C62*E2</f>
        <v>3224.4209000000001</v>
      </c>
      <c r="F62" s="61">
        <f t="shared" si="4"/>
        <v>2740.7577649999998</v>
      </c>
    </row>
    <row r="63" spans="1:7" x14ac:dyDescent="0.25">
      <c r="A63" s="37">
        <v>5</v>
      </c>
      <c r="B63" s="29">
        <v>837</v>
      </c>
      <c r="C63" s="68">
        <f>685+5</f>
        <v>690</v>
      </c>
      <c r="D63" s="29" t="s">
        <v>4</v>
      </c>
      <c r="E63" s="34">
        <f>C63*E2</f>
        <v>3396.7182000000003</v>
      </c>
      <c r="F63" s="61">
        <f t="shared" si="4"/>
        <v>2887.21047</v>
      </c>
    </row>
    <row r="64" spans="1:7" x14ac:dyDescent="0.25">
      <c r="A64" s="37">
        <v>6</v>
      </c>
      <c r="B64" s="29">
        <v>896</v>
      </c>
      <c r="C64" s="68">
        <f>730+5</f>
        <v>735</v>
      </c>
      <c r="D64" s="29" t="s">
        <v>4</v>
      </c>
      <c r="E64" s="34">
        <f>C64*E2</f>
        <v>3618.2433000000001</v>
      </c>
      <c r="F64" s="61">
        <f t="shared" si="4"/>
        <v>3075.506805</v>
      </c>
    </row>
    <row r="65" spans="1:7" x14ac:dyDescent="0.25">
      <c r="A65" s="37">
        <v>7</v>
      </c>
      <c r="B65" s="29">
        <v>946</v>
      </c>
      <c r="C65" s="68">
        <f>768+5</f>
        <v>773</v>
      </c>
      <c r="D65" s="29" t="s">
        <v>4</v>
      </c>
      <c r="E65" s="34">
        <f>C65*E2</f>
        <v>3805.3089400000003</v>
      </c>
      <c r="F65" s="61">
        <f t="shared" si="4"/>
        <v>3234.5125990000001</v>
      </c>
    </row>
    <row r="66" spans="1:7" x14ac:dyDescent="0.25">
      <c r="A66" s="37">
        <v>8</v>
      </c>
      <c r="B66" s="29">
        <v>995</v>
      </c>
      <c r="C66" s="68">
        <f>806+5</f>
        <v>811</v>
      </c>
      <c r="D66" s="29" t="s">
        <v>4</v>
      </c>
      <c r="E66" s="34">
        <f>C66*E2</f>
        <v>3992.3745800000002</v>
      </c>
      <c r="F66" s="61">
        <f t="shared" si="4"/>
        <v>3393.5183929999998</v>
      </c>
    </row>
    <row r="67" spans="1:7" x14ac:dyDescent="0.25">
      <c r="A67" s="37">
        <v>9</v>
      </c>
      <c r="B67" s="29">
        <v>1015</v>
      </c>
      <c r="C67" s="68">
        <f>821+5</f>
        <v>826</v>
      </c>
      <c r="D67" s="29" t="s">
        <v>6</v>
      </c>
      <c r="E67" s="34">
        <f>C67*E2</f>
        <v>4066.2162800000001</v>
      </c>
      <c r="F67" s="61">
        <f t="shared" si="4"/>
        <v>3456.2838379999998</v>
      </c>
    </row>
    <row r="71" spans="1:7" ht="25.5" x14ac:dyDescent="0.25">
      <c r="A71" s="37" t="s">
        <v>53</v>
      </c>
      <c r="B71" s="29" t="s">
        <v>0</v>
      </c>
      <c r="C71" s="68" t="s">
        <v>1</v>
      </c>
      <c r="D71" s="29" t="s">
        <v>2</v>
      </c>
      <c r="E71" s="12" t="s">
        <v>7</v>
      </c>
      <c r="F71" s="58" t="s">
        <v>150</v>
      </c>
      <c r="G71" s="40" t="s">
        <v>95</v>
      </c>
    </row>
    <row r="72" spans="1:7" x14ac:dyDescent="0.25">
      <c r="A72" s="37">
        <v>1</v>
      </c>
      <c r="B72" s="29">
        <v>850</v>
      </c>
      <c r="C72" s="68">
        <f>695+5</f>
        <v>700</v>
      </c>
      <c r="D72" s="29" t="s">
        <v>18</v>
      </c>
      <c r="E72" s="34">
        <f>C72*E2</f>
        <v>3445.9460000000004</v>
      </c>
      <c r="F72" s="61">
        <f>E72*85%</f>
        <v>2929.0541000000003</v>
      </c>
    </row>
    <row r="73" spans="1:7" x14ac:dyDescent="0.25">
      <c r="A73" s="37">
        <v>2</v>
      </c>
      <c r="B73" s="29">
        <v>896</v>
      </c>
      <c r="C73" s="68">
        <f>730+5</f>
        <v>735</v>
      </c>
      <c r="D73" s="29" t="s">
        <v>18</v>
      </c>
      <c r="E73" s="34">
        <f>C73*E2</f>
        <v>3618.2433000000001</v>
      </c>
      <c r="F73" s="61">
        <f t="shared" ref="F73:F77" si="5">E73*85%</f>
        <v>3075.506805</v>
      </c>
    </row>
    <row r="74" spans="1:7" x14ac:dyDescent="0.25">
      <c r="A74" s="37">
        <v>3</v>
      </c>
      <c r="B74" s="29">
        <v>946</v>
      </c>
      <c r="C74" s="68">
        <f>768+5</f>
        <v>773</v>
      </c>
      <c r="D74" s="29" t="s">
        <v>48</v>
      </c>
      <c r="E74" s="34">
        <f>C74*E2</f>
        <v>3805.3089400000003</v>
      </c>
      <c r="F74" s="61">
        <f t="shared" si="5"/>
        <v>3234.5125990000001</v>
      </c>
    </row>
    <row r="75" spans="1:7" x14ac:dyDescent="0.25">
      <c r="A75" s="37">
        <v>4</v>
      </c>
      <c r="B75" s="29">
        <v>995</v>
      </c>
      <c r="C75" s="68">
        <f>806+5</f>
        <v>811</v>
      </c>
      <c r="D75" s="29" t="s">
        <v>4</v>
      </c>
      <c r="E75" s="34">
        <f>C75*E2</f>
        <v>3992.3745800000002</v>
      </c>
      <c r="F75" s="61">
        <f t="shared" si="5"/>
        <v>3393.5183929999998</v>
      </c>
    </row>
    <row r="76" spans="1:7" x14ac:dyDescent="0.25">
      <c r="A76" s="37">
        <v>5</v>
      </c>
      <c r="B76" s="29">
        <v>1027</v>
      </c>
      <c r="C76" s="68">
        <f>830+5</f>
        <v>835</v>
      </c>
      <c r="D76" s="29" t="s">
        <v>6</v>
      </c>
      <c r="E76" s="34">
        <f>C76*E2</f>
        <v>4110.5213000000003</v>
      </c>
      <c r="F76" s="61">
        <f t="shared" si="5"/>
        <v>3493.9431050000003</v>
      </c>
    </row>
    <row r="77" spans="1:7" x14ac:dyDescent="0.25">
      <c r="A77" s="37" t="s">
        <v>90</v>
      </c>
      <c r="B77" s="29" t="s">
        <v>91</v>
      </c>
      <c r="C77" s="68">
        <f>890+5</f>
        <v>895</v>
      </c>
      <c r="D77" s="29" t="s">
        <v>6</v>
      </c>
      <c r="E77" s="34">
        <f>C77*E2</f>
        <v>4405.8881000000001</v>
      </c>
      <c r="F77" s="61">
        <f t="shared" si="5"/>
        <v>3745.0048849999998</v>
      </c>
    </row>
    <row r="81" spans="1:7" ht="25.5" x14ac:dyDescent="0.25">
      <c r="A81" s="37" t="s">
        <v>53</v>
      </c>
      <c r="B81" s="29" t="s">
        <v>0</v>
      </c>
      <c r="C81" s="68" t="s">
        <v>1</v>
      </c>
      <c r="D81" s="29" t="s">
        <v>2</v>
      </c>
      <c r="E81" s="12" t="s">
        <v>7</v>
      </c>
      <c r="F81" s="58" t="s">
        <v>150</v>
      </c>
      <c r="G81" s="40" t="s">
        <v>96</v>
      </c>
    </row>
    <row r="82" spans="1:7" x14ac:dyDescent="0.25">
      <c r="A82" s="37">
        <v>1</v>
      </c>
      <c r="B82" s="29">
        <v>461</v>
      </c>
      <c r="C82" s="68">
        <f>404+5</f>
        <v>409</v>
      </c>
      <c r="D82" s="29" t="s">
        <v>3</v>
      </c>
      <c r="E82" s="34">
        <f>C82*E2</f>
        <v>2013.4170200000001</v>
      </c>
      <c r="F82" s="61">
        <f>E82*85%</f>
        <v>1711.4044670000001</v>
      </c>
      <c r="G82" s="40" t="s">
        <v>97</v>
      </c>
    </row>
    <row r="83" spans="1:7" x14ac:dyDescent="0.25">
      <c r="A83" s="37">
        <v>2</v>
      </c>
      <c r="B83" s="29">
        <v>525</v>
      </c>
      <c r="C83" s="68">
        <f>450+5</f>
        <v>455</v>
      </c>
      <c r="D83" s="29" t="s">
        <v>3</v>
      </c>
      <c r="E83" s="34">
        <f>C83*E2</f>
        <v>2239.8649</v>
      </c>
      <c r="F83" s="61">
        <f t="shared" ref="F83:F92" si="6">E83*85%</f>
        <v>1903.8851649999999</v>
      </c>
    </row>
    <row r="84" spans="1:7" x14ac:dyDescent="0.25">
      <c r="A84" s="37">
        <v>3</v>
      </c>
      <c r="B84" s="29">
        <v>574</v>
      </c>
      <c r="C84" s="68">
        <f>485+5</f>
        <v>490</v>
      </c>
      <c r="D84" s="29" t="s">
        <v>82</v>
      </c>
      <c r="E84" s="34">
        <f>C84*E2</f>
        <v>2412.1622000000002</v>
      </c>
      <c r="F84" s="61">
        <f t="shared" si="6"/>
        <v>2050.3378700000003</v>
      </c>
    </row>
    <row r="85" spans="1:7" x14ac:dyDescent="0.25">
      <c r="A85" s="37">
        <v>4</v>
      </c>
      <c r="B85" s="29">
        <v>623</v>
      </c>
      <c r="C85" s="68">
        <f>523+5</f>
        <v>528</v>
      </c>
      <c r="D85" s="29" t="s">
        <v>82</v>
      </c>
      <c r="E85" s="34">
        <f>C85*E2</f>
        <v>2599.22784</v>
      </c>
      <c r="F85" s="61">
        <f t="shared" si="6"/>
        <v>2209.343664</v>
      </c>
    </row>
    <row r="86" spans="1:7" x14ac:dyDescent="0.25">
      <c r="A86" s="37">
        <v>5</v>
      </c>
      <c r="B86" s="29">
        <v>665</v>
      </c>
      <c r="C86" s="68">
        <f>555+5</f>
        <v>560</v>
      </c>
      <c r="D86" s="29" t="s">
        <v>18</v>
      </c>
      <c r="E86" s="34">
        <f>C86*E2</f>
        <v>2756.7568000000001</v>
      </c>
      <c r="F86" s="61">
        <f t="shared" si="6"/>
        <v>2343.2432800000001</v>
      </c>
    </row>
    <row r="87" spans="1:7" x14ac:dyDescent="0.25">
      <c r="A87" s="37">
        <v>6</v>
      </c>
      <c r="B87" s="29">
        <v>713</v>
      </c>
      <c r="C87" s="68">
        <f>591+5</f>
        <v>596</v>
      </c>
      <c r="D87" s="29" t="s">
        <v>18</v>
      </c>
      <c r="E87" s="34">
        <f>C87*E2</f>
        <v>2933.9768800000002</v>
      </c>
      <c r="F87" s="61">
        <f t="shared" si="6"/>
        <v>2493.8803480000001</v>
      </c>
    </row>
    <row r="88" spans="1:7" x14ac:dyDescent="0.25">
      <c r="A88" s="37">
        <v>7</v>
      </c>
      <c r="B88" s="29">
        <v>782</v>
      </c>
      <c r="C88" s="68">
        <f>644+5</f>
        <v>649</v>
      </c>
      <c r="D88" s="29" t="s">
        <v>18</v>
      </c>
      <c r="E88" s="34">
        <f>C88*E2</f>
        <v>3194.8842200000004</v>
      </c>
      <c r="F88" s="61">
        <f t="shared" si="6"/>
        <v>2715.6515870000003</v>
      </c>
    </row>
    <row r="89" spans="1:7" x14ac:dyDescent="0.25">
      <c r="A89" s="37">
        <v>8</v>
      </c>
      <c r="B89" s="29">
        <v>862</v>
      </c>
      <c r="C89" s="68">
        <f>705+5</f>
        <v>710</v>
      </c>
      <c r="D89" s="29" t="s">
        <v>48</v>
      </c>
      <c r="E89" s="34">
        <f>C89*E2</f>
        <v>3495.1738000000005</v>
      </c>
      <c r="F89" s="61">
        <f t="shared" si="6"/>
        <v>2970.8977300000001</v>
      </c>
    </row>
    <row r="90" spans="1:7" x14ac:dyDescent="0.25">
      <c r="A90" s="37">
        <v>9</v>
      </c>
      <c r="B90" s="29">
        <v>912</v>
      </c>
      <c r="C90" s="68">
        <f>743+5</f>
        <v>748</v>
      </c>
      <c r="D90" s="29" t="s">
        <v>4</v>
      </c>
      <c r="E90" s="34">
        <f>C90*E2</f>
        <v>3682.2394400000003</v>
      </c>
      <c r="F90" s="61">
        <f t="shared" si="6"/>
        <v>3129.9035240000003</v>
      </c>
    </row>
    <row r="91" spans="1:7" x14ac:dyDescent="0.25">
      <c r="A91" s="37">
        <v>10</v>
      </c>
      <c r="B91" s="29">
        <v>977</v>
      </c>
      <c r="C91" s="68">
        <f>792+5</f>
        <v>797</v>
      </c>
      <c r="D91" s="29" t="s">
        <v>4</v>
      </c>
      <c r="E91" s="34">
        <f>C91*E2</f>
        <v>3923.4556600000001</v>
      </c>
      <c r="F91" s="61">
        <f t="shared" si="6"/>
        <v>3334.9373110000001</v>
      </c>
    </row>
    <row r="92" spans="1:7" x14ac:dyDescent="0.25">
      <c r="A92" s="37">
        <v>11</v>
      </c>
      <c r="B92" s="29">
        <v>1015</v>
      </c>
      <c r="C92" s="68">
        <f>821+5</f>
        <v>826</v>
      </c>
      <c r="D92" s="29" t="s">
        <v>6</v>
      </c>
      <c r="E92" s="34">
        <f>C92*E2</f>
        <v>4066.2162800000001</v>
      </c>
      <c r="F92" s="61">
        <f t="shared" si="6"/>
        <v>3456.2838379999998</v>
      </c>
    </row>
    <row r="96" spans="1:7" ht="25.5" x14ac:dyDescent="0.25">
      <c r="A96" s="37" t="s">
        <v>53</v>
      </c>
      <c r="B96" s="29" t="s">
        <v>0</v>
      </c>
      <c r="C96" s="68" t="s">
        <v>1</v>
      </c>
      <c r="D96" s="29" t="s">
        <v>2</v>
      </c>
      <c r="E96" s="12" t="s">
        <v>7</v>
      </c>
      <c r="F96" s="58" t="s">
        <v>150</v>
      </c>
      <c r="G96" s="40" t="s">
        <v>96</v>
      </c>
    </row>
    <row r="97" spans="1:7" x14ac:dyDescent="0.25">
      <c r="A97" s="37">
        <v>1</v>
      </c>
      <c r="B97" s="29">
        <v>762</v>
      </c>
      <c r="C97" s="68">
        <f>628+5</f>
        <v>633</v>
      </c>
      <c r="D97" s="29" t="s">
        <v>82</v>
      </c>
      <c r="E97" s="34">
        <f>C97*E2</f>
        <v>3116.1197400000001</v>
      </c>
      <c r="F97" s="61">
        <f>E97*85%</f>
        <v>2648.701779</v>
      </c>
      <c r="G97" s="40" t="s">
        <v>100</v>
      </c>
    </row>
    <row r="98" spans="1:7" x14ac:dyDescent="0.25">
      <c r="A98" s="37">
        <v>2</v>
      </c>
      <c r="B98" s="29">
        <v>842</v>
      </c>
      <c r="C98" s="68">
        <f>689+5</f>
        <v>694</v>
      </c>
      <c r="D98" s="29" t="s">
        <v>82</v>
      </c>
      <c r="E98" s="34">
        <f>C98*E2</f>
        <v>3416.4093200000002</v>
      </c>
      <c r="F98" s="61">
        <f t="shared" ref="F98:F104" si="7">E98*85%</f>
        <v>2903.9479220000003</v>
      </c>
    </row>
    <row r="99" spans="1:7" x14ac:dyDescent="0.25">
      <c r="A99" s="37">
        <v>3</v>
      </c>
      <c r="B99" s="29">
        <v>912</v>
      </c>
      <c r="C99" s="68">
        <f>743+5</f>
        <v>748</v>
      </c>
      <c r="D99" s="29" t="s">
        <v>18</v>
      </c>
      <c r="E99" s="34">
        <f>C99*E2</f>
        <v>3682.2394400000003</v>
      </c>
      <c r="F99" s="61">
        <f t="shared" si="7"/>
        <v>3129.9035240000003</v>
      </c>
    </row>
    <row r="100" spans="1:7" x14ac:dyDescent="0.25">
      <c r="A100" s="37">
        <v>4</v>
      </c>
      <c r="B100" s="29">
        <v>977</v>
      </c>
      <c r="C100" s="68">
        <f>792+5</f>
        <v>797</v>
      </c>
      <c r="D100" s="29" t="s">
        <v>18</v>
      </c>
      <c r="E100" s="34">
        <f>C100*E2</f>
        <v>3923.4556600000001</v>
      </c>
      <c r="F100" s="61">
        <f t="shared" si="7"/>
        <v>3334.9373110000001</v>
      </c>
    </row>
    <row r="101" spans="1:7" x14ac:dyDescent="0.25">
      <c r="A101" s="37">
        <v>5</v>
      </c>
      <c r="B101" s="29">
        <v>1027</v>
      </c>
      <c r="C101" s="68">
        <f>830+5</f>
        <v>835</v>
      </c>
      <c r="D101" s="29" t="s">
        <v>48</v>
      </c>
      <c r="E101" s="34">
        <f>C101*E2</f>
        <v>4110.5213000000003</v>
      </c>
      <c r="F101" s="61">
        <f t="shared" si="7"/>
        <v>3493.9431050000003</v>
      </c>
    </row>
    <row r="102" spans="1:7" x14ac:dyDescent="0.25">
      <c r="A102" s="37">
        <v>6</v>
      </c>
      <c r="B102" s="29" t="s">
        <v>91</v>
      </c>
      <c r="C102" s="68">
        <f>890+5</f>
        <v>895</v>
      </c>
      <c r="D102" s="29" t="s">
        <v>4</v>
      </c>
      <c r="E102" s="34">
        <f>C102*E2</f>
        <v>4405.8881000000001</v>
      </c>
      <c r="F102" s="61">
        <f t="shared" si="7"/>
        <v>3745.0048849999998</v>
      </c>
    </row>
    <row r="103" spans="1:7" x14ac:dyDescent="0.25">
      <c r="A103" s="37">
        <v>7</v>
      </c>
      <c r="B103" s="29" t="s">
        <v>98</v>
      </c>
      <c r="C103" s="68">
        <f>972+5</f>
        <v>977</v>
      </c>
      <c r="D103" s="29" t="s">
        <v>5</v>
      </c>
      <c r="E103" s="34">
        <f>C103*E2</f>
        <v>4809.5560600000008</v>
      </c>
      <c r="F103" s="61">
        <f t="shared" si="7"/>
        <v>4088.1226510000006</v>
      </c>
    </row>
    <row r="104" spans="1:7" x14ac:dyDescent="0.25">
      <c r="A104" s="37">
        <v>8</v>
      </c>
      <c r="B104" s="29" t="s">
        <v>99</v>
      </c>
      <c r="C104" s="68">
        <f>1067+5</f>
        <v>1072</v>
      </c>
      <c r="D104" s="29" t="s">
        <v>6</v>
      </c>
      <c r="E104" s="34">
        <f>C104*E2</f>
        <v>5277.2201600000008</v>
      </c>
      <c r="F104" s="61">
        <f t="shared" si="7"/>
        <v>4485.6371360000003</v>
      </c>
    </row>
    <row r="108" spans="1:7" ht="25.5" x14ac:dyDescent="0.25">
      <c r="A108" s="37" t="s">
        <v>53</v>
      </c>
      <c r="B108" s="29" t="s">
        <v>0</v>
      </c>
      <c r="C108" s="68" t="s">
        <v>1</v>
      </c>
      <c r="D108" s="29" t="s">
        <v>2</v>
      </c>
      <c r="E108" s="12" t="s">
        <v>7</v>
      </c>
      <c r="F108" s="58" t="s">
        <v>150</v>
      </c>
      <c r="G108" s="40" t="s">
        <v>96</v>
      </c>
    </row>
    <row r="109" spans="1:7" x14ac:dyDescent="0.25">
      <c r="A109" s="37">
        <v>1</v>
      </c>
      <c r="B109" s="29">
        <v>1027</v>
      </c>
      <c r="C109" s="68">
        <f>830+5</f>
        <v>835</v>
      </c>
      <c r="D109" s="29" t="s">
        <v>4</v>
      </c>
      <c r="E109" s="34">
        <f>C109*E2</f>
        <v>4110.5213000000003</v>
      </c>
      <c r="F109" s="61">
        <f>E109*85%</f>
        <v>3493.9431050000003</v>
      </c>
      <c r="G109" s="40" t="s">
        <v>104</v>
      </c>
    </row>
    <row r="110" spans="1:7" x14ac:dyDescent="0.25">
      <c r="A110" s="37">
        <v>2</v>
      </c>
      <c r="B110" s="29" t="s">
        <v>91</v>
      </c>
      <c r="C110" s="68">
        <f>890+5</f>
        <v>895</v>
      </c>
      <c r="D110" s="29" t="s">
        <v>4</v>
      </c>
      <c r="E110" s="34">
        <f>C110*E2</f>
        <v>4405.8881000000001</v>
      </c>
      <c r="F110" s="61">
        <f t="shared" ref="F110:F114" si="8">E110*85%</f>
        <v>3745.0048849999998</v>
      </c>
    </row>
    <row r="111" spans="1:7" x14ac:dyDescent="0.25">
      <c r="A111" s="37">
        <v>3</v>
      </c>
      <c r="B111" s="29" t="s">
        <v>98</v>
      </c>
      <c r="C111" s="68">
        <f>972+5</f>
        <v>977</v>
      </c>
      <c r="D111" s="29" t="s">
        <v>4</v>
      </c>
      <c r="E111" s="34">
        <f>C111*E2</f>
        <v>4809.5560600000008</v>
      </c>
      <c r="F111" s="61">
        <f t="shared" si="8"/>
        <v>4088.1226510000006</v>
      </c>
    </row>
    <row r="112" spans="1:7" x14ac:dyDescent="0.25">
      <c r="A112" s="37">
        <v>4</v>
      </c>
      <c r="B112" s="29" t="s">
        <v>99</v>
      </c>
      <c r="C112" s="68">
        <f>1067+5</f>
        <v>1072</v>
      </c>
      <c r="D112" s="29" t="s">
        <v>4</v>
      </c>
      <c r="E112" s="34">
        <f>C112*E2</f>
        <v>5277.2201600000008</v>
      </c>
      <c r="F112" s="61">
        <f t="shared" si="8"/>
        <v>4485.6371360000003</v>
      </c>
    </row>
    <row r="113" spans="1:7" x14ac:dyDescent="0.25">
      <c r="A113" s="37">
        <v>5</v>
      </c>
      <c r="B113" s="29" t="s">
        <v>101</v>
      </c>
      <c r="C113" s="68">
        <f>1124+5</f>
        <v>1129</v>
      </c>
      <c r="D113" s="29" t="s">
        <v>6</v>
      </c>
      <c r="E113" s="34">
        <f>C113*E2</f>
        <v>5557.81862</v>
      </c>
      <c r="F113" s="61">
        <f t="shared" si="8"/>
        <v>4724.1458270000003</v>
      </c>
    </row>
    <row r="114" spans="1:7" x14ac:dyDescent="0.25">
      <c r="A114" s="37" t="s">
        <v>102</v>
      </c>
      <c r="B114" s="29" t="s">
        <v>103</v>
      </c>
      <c r="C114" s="68">
        <f>1173+5</f>
        <v>1178</v>
      </c>
      <c r="D114" s="29" t="s">
        <v>6</v>
      </c>
      <c r="E114" s="34">
        <f>C114*E2</f>
        <v>5799.0348400000003</v>
      </c>
      <c r="F114" s="61">
        <f t="shared" si="8"/>
        <v>4929.1796139999997</v>
      </c>
    </row>
    <row r="118" spans="1:7" ht="25.5" x14ac:dyDescent="0.25">
      <c r="A118" s="37" t="s">
        <v>53</v>
      </c>
      <c r="B118" s="29" t="s">
        <v>0</v>
      </c>
      <c r="C118" s="68" t="s">
        <v>1</v>
      </c>
      <c r="D118" s="29" t="s">
        <v>2</v>
      </c>
      <c r="E118" s="12" t="s">
        <v>7</v>
      </c>
      <c r="F118" s="58" t="s">
        <v>150</v>
      </c>
      <c r="G118" s="40" t="s">
        <v>105</v>
      </c>
    </row>
    <row r="119" spans="1:7" x14ac:dyDescent="0.25">
      <c r="A119" s="37">
        <v>1</v>
      </c>
      <c r="B119" s="29">
        <v>444</v>
      </c>
      <c r="C119" s="68">
        <f>390+5</f>
        <v>395</v>
      </c>
      <c r="D119" s="29" t="s">
        <v>82</v>
      </c>
      <c r="E119" s="34">
        <f>C119*E2</f>
        <v>1944.4981000000002</v>
      </c>
      <c r="F119" s="61">
        <f>E119*85%</f>
        <v>1652.8233850000001</v>
      </c>
      <c r="G119" s="40" t="s">
        <v>106</v>
      </c>
    </row>
    <row r="120" spans="1:7" x14ac:dyDescent="0.25">
      <c r="A120" s="37">
        <v>2</v>
      </c>
      <c r="B120" s="29">
        <v>469</v>
      </c>
      <c r="C120" s="68">
        <f>410+5</f>
        <v>415</v>
      </c>
      <c r="D120" s="29" t="s">
        <v>18</v>
      </c>
      <c r="E120" s="34">
        <f>C120*E2</f>
        <v>2042.9537000000003</v>
      </c>
      <c r="F120" s="61">
        <f t="shared" ref="F120:F129" si="9">E120*85%</f>
        <v>1736.5106450000001</v>
      </c>
    </row>
    <row r="121" spans="1:7" x14ac:dyDescent="0.25">
      <c r="A121" s="37">
        <v>3</v>
      </c>
      <c r="B121" s="29">
        <v>499</v>
      </c>
      <c r="C121" s="68">
        <f>430+5</f>
        <v>435</v>
      </c>
      <c r="D121" s="29" t="s">
        <v>18</v>
      </c>
      <c r="E121" s="34">
        <f>C121*E2</f>
        <v>2141.4093000000003</v>
      </c>
      <c r="F121" s="61">
        <f t="shared" si="9"/>
        <v>1820.1979050000002</v>
      </c>
    </row>
    <row r="122" spans="1:7" x14ac:dyDescent="0.25">
      <c r="A122" s="37">
        <v>4</v>
      </c>
      <c r="B122" s="29">
        <v>525</v>
      </c>
      <c r="C122" s="68">
        <f>450+5</f>
        <v>455</v>
      </c>
      <c r="D122" s="29" t="s">
        <v>18</v>
      </c>
      <c r="E122" s="34">
        <f>C122*E2</f>
        <v>2239.8649</v>
      </c>
      <c r="F122" s="61">
        <f t="shared" si="9"/>
        <v>1903.8851649999999</v>
      </c>
    </row>
    <row r="123" spans="1:7" x14ac:dyDescent="0.25">
      <c r="A123" s="37">
        <v>5</v>
      </c>
      <c r="B123" s="29">
        <v>567</v>
      </c>
      <c r="C123" s="68">
        <f>480+5</f>
        <v>485</v>
      </c>
      <c r="D123" s="29" t="s">
        <v>48</v>
      </c>
      <c r="E123" s="34">
        <f>C123*E2</f>
        <v>2387.5483000000004</v>
      </c>
      <c r="F123" s="61">
        <f t="shared" si="9"/>
        <v>2029.4160550000004</v>
      </c>
    </row>
    <row r="124" spans="1:7" x14ac:dyDescent="0.25">
      <c r="A124" s="37">
        <v>6</v>
      </c>
      <c r="B124" s="29">
        <v>611</v>
      </c>
      <c r="C124" s="68">
        <f>513+5</f>
        <v>518</v>
      </c>
      <c r="D124" s="29" t="s">
        <v>4</v>
      </c>
      <c r="E124" s="34">
        <f>C124*E2</f>
        <v>2550.0000400000004</v>
      </c>
      <c r="F124" s="61">
        <f t="shared" si="9"/>
        <v>2167.5000340000001</v>
      </c>
    </row>
    <row r="125" spans="1:7" x14ac:dyDescent="0.25">
      <c r="A125" s="37">
        <v>7</v>
      </c>
      <c r="B125" s="29">
        <v>653</v>
      </c>
      <c r="C125" s="68">
        <f>545+5</f>
        <v>550</v>
      </c>
      <c r="D125" s="29" t="s">
        <v>4</v>
      </c>
      <c r="E125" s="34">
        <f>C125*E2</f>
        <v>2707.529</v>
      </c>
      <c r="F125" s="61">
        <f t="shared" si="9"/>
        <v>2301.3996499999998</v>
      </c>
    </row>
    <row r="126" spans="1:7" x14ac:dyDescent="0.25">
      <c r="A126" s="37">
        <v>8</v>
      </c>
      <c r="B126" s="29">
        <v>693</v>
      </c>
      <c r="C126" s="68">
        <f>575+5</f>
        <v>580</v>
      </c>
      <c r="D126" s="29" t="s">
        <v>4</v>
      </c>
      <c r="E126" s="34">
        <f>C126*E2</f>
        <v>2855.2124000000003</v>
      </c>
      <c r="F126" s="61">
        <f t="shared" si="9"/>
        <v>2426.9305400000003</v>
      </c>
    </row>
    <row r="127" spans="1:7" x14ac:dyDescent="0.25">
      <c r="A127" s="37">
        <v>9</v>
      </c>
      <c r="B127" s="29">
        <v>732</v>
      </c>
      <c r="C127" s="68">
        <f>605+5</f>
        <v>610</v>
      </c>
      <c r="D127" s="29" t="s">
        <v>4</v>
      </c>
      <c r="E127" s="34">
        <f>C127*E2</f>
        <v>3002.8958000000002</v>
      </c>
      <c r="F127" s="61">
        <f t="shared" si="9"/>
        <v>2552.4614300000003</v>
      </c>
    </row>
    <row r="128" spans="1:7" x14ac:dyDescent="0.25">
      <c r="A128" s="37">
        <v>10</v>
      </c>
      <c r="B128" s="29">
        <v>778</v>
      </c>
      <c r="C128" s="68">
        <f>640+5</f>
        <v>645</v>
      </c>
      <c r="D128" s="29" t="s">
        <v>5</v>
      </c>
      <c r="E128" s="34">
        <f>C128*E2</f>
        <v>3175.1931000000004</v>
      </c>
      <c r="F128" s="61">
        <f t="shared" si="9"/>
        <v>2698.9141350000004</v>
      </c>
    </row>
    <row r="129" spans="1:7" x14ac:dyDescent="0.25">
      <c r="A129" s="37">
        <v>11</v>
      </c>
      <c r="B129" s="29">
        <v>821</v>
      </c>
      <c r="C129" s="68">
        <f>673+5</f>
        <v>678</v>
      </c>
      <c r="D129" s="29" t="s">
        <v>6</v>
      </c>
      <c r="E129" s="34">
        <f>C129*E2</f>
        <v>3337.6448400000004</v>
      </c>
      <c r="F129" s="61">
        <f t="shared" si="9"/>
        <v>2836.9981140000004</v>
      </c>
    </row>
    <row r="133" spans="1:7" ht="25.5" x14ac:dyDescent="0.25">
      <c r="A133" s="37" t="s">
        <v>53</v>
      </c>
      <c r="B133" s="29" t="s">
        <v>0</v>
      </c>
      <c r="C133" s="68" t="s">
        <v>1</v>
      </c>
      <c r="D133" s="29" t="s">
        <v>2</v>
      </c>
      <c r="E133" s="12" t="s">
        <v>7</v>
      </c>
      <c r="F133" s="62" t="s">
        <v>150</v>
      </c>
      <c r="G133" s="40" t="s">
        <v>107</v>
      </c>
    </row>
    <row r="134" spans="1:7" x14ac:dyDescent="0.25">
      <c r="A134" s="37">
        <v>1</v>
      </c>
      <c r="B134" s="29">
        <v>593</v>
      </c>
      <c r="C134" s="68">
        <f>500+5</f>
        <v>505</v>
      </c>
      <c r="D134" s="29" t="s">
        <v>18</v>
      </c>
      <c r="E134" s="34">
        <f>C134*E2</f>
        <v>2486.0039000000002</v>
      </c>
      <c r="F134" s="61">
        <f>E134*85%</f>
        <v>2113.1033150000003</v>
      </c>
      <c r="G134" s="40" t="s">
        <v>108</v>
      </c>
    </row>
    <row r="135" spans="1:7" x14ac:dyDescent="0.25">
      <c r="A135" s="37">
        <v>2</v>
      </c>
      <c r="B135" s="29">
        <v>639</v>
      </c>
      <c r="C135" s="68">
        <f>535+5</f>
        <v>540</v>
      </c>
      <c r="D135" s="29" t="s">
        <v>18</v>
      </c>
      <c r="E135" s="34">
        <f>C135*E2</f>
        <v>2658.3012000000003</v>
      </c>
      <c r="F135" s="61">
        <f t="shared" ref="F135:F143" si="10">E135*85%</f>
        <v>2259.5560200000004</v>
      </c>
    </row>
    <row r="136" spans="1:7" x14ac:dyDescent="0.25">
      <c r="A136" s="37">
        <v>3</v>
      </c>
      <c r="B136" s="29">
        <v>693</v>
      </c>
      <c r="C136" s="68">
        <f>575+5</f>
        <v>580</v>
      </c>
      <c r="D136" s="29" t="s">
        <v>18</v>
      </c>
      <c r="E136" s="34">
        <f>C136*E2</f>
        <v>2855.2124000000003</v>
      </c>
      <c r="F136" s="61">
        <f t="shared" si="10"/>
        <v>2426.9305400000003</v>
      </c>
    </row>
    <row r="137" spans="1:7" x14ac:dyDescent="0.25">
      <c r="A137" s="37">
        <v>4</v>
      </c>
      <c r="B137" s="29">
        <v>732</v>
      </c>
      <c r="C137" s="68">
        <f>605+5</f>
        <v>610</v>
      </c>
      <c r="D137" s="29" t="s">
        <v>18</v>
      </c>
      <c r="E137" s="34">
        <f>C137*E2</f>
        <v>3002.8958000000002</v>
      </c>
      <c r="F137" s="61">
        <f t="shared" si="10"/>
        <v>2552.4614300000003</v>
      </c>
    </row>
    <row r="138" spans="1:7" x14ac:dyDescent="0.25">
      <c r="A138" s="37">
        <v>5</v>
      </c>
      <c r="B138" s="29">
        <v>791</v>
      </c>
      <c r="C138" s="68">
        <f>650+5</f>
        <v>655</v>
      </c>
      <c r="D138" s="29" t="s">
        <v>18</v>
      </c>
      <c r="E138" s="34">
        <f>C138*E2</f>
        <v>3224.4209000000001</v>
      </c>
      <c r="F138" s="61">
        <f t="shared" si="10"/>
        <v>2740.7577649999998</v>
      </c>
    </row>
    <row r="139" spans="1:7" x14ac:dyDescent="0.25">
      <c r="A139" s="37">
        <v>6</v>
      </c>
      <c r="B139" s="29">
        <v>843</v>
      </c>
      <c r="C139" s="68">
        <f>690+5</f>
        <v>695</v>
      </c>
      <c r="D139" s="29" t="s">
        <v>48</v>
      </c>
      <c r="E139" s="34">
        <f>C139*E2</f>
        <v>3421.3321000000001</v>
      </c>
      <c r="F139" s="61">
        <f t="shared" si="10"/>
        <v>2908.1322850000001</v>
      </c>
    </row>
    <row r="140" spans="1:7" x14ac:dyDescent="0.25">
      <c r="A140" s="37">
        <v>7</v>
      </c>
      <c r="B140" s="29">
        <v>896</v>
      </c>
      <c r="C140" s="68">
        <f>730+5</f>
        <v>735</v>
      </c>
      <c r="D140" s="29" t="s">
        <v>48</v>
      </c>
      <c r="E140" s="34">
        <f>C140*E2</f>
        <v>3618.2433000000001</v>
      </c>
      <c r="F140" s="61">
        <f t="shared" si="10"/>
        <v>3075.506805</v>
      </c>
    </row>
    <row r="141" spans="1:7" x14ac:dyDescent="0.25">
      <c r="A141" s="37">
        <v>8</v>
      </c>
      <c r="B141" s="29">
        <v>946</v>
      </c>
      <c r="C141" s="68">
        <f>768+5</f>
        <v>773</v>
      </c>
      <c r="D141" s="29" t="s">
        <v>4</v>
      </c>
      <c r="E141" s="34">
        <f>C141*E2</f>
        <v>3805.3089400000003</v>
      </c>
      <c r="F141" s="61">
        <f t="shared" si="10"/>
        <v>3234.5125990000001</v>
      </c>
    </row>
    <row r="142" spans="1:7" x14ac:dyDescent="0.25">
      <c r="A142" s="37">
        <v>9</v>
      </c>
      <c r="B142" s="29">
        <v>995</v>
      </c>
      <c r="C142" s="68">
        <f>806+5</f>
        <v>811</v>
      </c>
      <c r="D142" s="29" t="s">
        <v>4</v>
      </c>
      <c r="E142" s="34">
        <f>C142*E2</f>
        <v>3992.3745800000002</v>
      </c>
      <c r="F142" s="61">
        <f t="shared" si="10"/>
        <v>3393.5183929999998</v>
      </c>
    </row>
    <row r="143" spans="1:7" x14ac:dyDescent="0.25">
      <c r="A143" s="37">
        <v>10</v>
      </c>
      <c r="B143" s="29">
        <v>1015</v>
      </c>
      <c r="C143" s="68">
        <f>821+5</f>
        <v>826</v>
      </c>
      <c r="D143" s="29" t="s">
        <v>6</v>
      </c>
      <c r="E143" s="34">
        <f>C143*E2</f>
        <v>4066.2162800000001</v>
      </c>
      <c r="F143" s="61">
        <f t="shared" si="10"/>
        <v>3456.2838379999998</v>
      </c>
    </row>
    <row r="147" spans="1:7" ht="25.5" x14ac:dyDescent="0.25">
      <c r="A147" s="37" t="s">
        <v>53</v>
      </c>
      <c r="B147" s="29" t="s">
        <v>0</v>
      </c>
      <c r="C147" s="68" t="s">
        <v>1</v>
      </c>
      <c r="D147" s="29" t="s">
        <v>2</v>
      </c>
      <c r="E147" s="12" t="s">
        <v>7</v>
      </c>
      <c r="F147" s="62" t="s">
        <v>150</v>
      </c>
      <c r="G147" s="40" t="s">
        <v>109</v>
      </c>
    </row>
    <row r="148" spans="1:7" x14ac:dyDescent="0.25">
      <c r="A148" s="37">
        <v>1</v>
      </c>
      <c r="B148" s="29">
        <v>525</v>
      </c>
      <c r="C148" s="68">
        <f>450+5</f>
        <v>455</v>
      </c>
      <c r="D148" s="29" t="s">
        <v>18</v>
      </c>
      <c r="E148" s="34">
        <f>C148*E2</f>
        <v>2239.8649</v>
      </c>
      <c r="F148" s="61">
        <f>E148*85%</f>
        <v>1903.8851649999999</v>
      </c>
    </row>
    <row r="149" spans="1:7" x14ac:dyDescent="0.25">
      <c r="A149" s="37">
        <v>2</v>
      </c>
      <c r="B149" s="29">
        <v>566</v>
      </c>
      <c r="C149" s="68">
        <f>479+5</f>
        <v>484</v>
      </c>
      <c r="D149" s="29" t="s">
        <v>18</v>
      </c>
      <c r="E149" s="34">
        <f>C149*E2</f>
        <v>2382.6255200000001</v>
      </c>
      <c r="F149" s="61">
        <f t="shared" ref="F149:F155" si="11">E149*85%</f>
        <v>2025.2316920000001</v>
      </c>
    </row>
    <row r="150" spans="1:7" x14ac:dyDescent="0.25">
      <c r="A150" s="37">
        <v>3</v>
      </c>
      <c r="B150" s="29">
        <v>620</v>
      </c>
      <c r="C150" s="68">
        <f>520+5</f>
        <v>525</v>
      </c>
      <c r="D150" s="29" t="s">
        <v>48</v>
      </c>
      <c r="E150" s="34">
        <f>C150*E2</f>
        <v>2584.4595000000004</v>
      </c>
      <c r="F150" s="61">
        <f t="shared" si="11"/>
        <v>2196.7905750000004</v>
      </c>
    </row>
    <row r="151" spans="1:7" x14ac:dyDescent="0.25">
      <c r="A151" s="37">
        <v>4</v>
      </c>
      <c r="B151" s="29">
        <v>674</v>
      </c>
      <c r="C151" s="68">
        <f>561+5</f>
        <v>566</v>
      </c>
      <c r="D151" s="29" t="s">
        <v>48</v>
      </c>
      <c r="E151" s="34">
        <f>C151*E2</f>
        <v>2786.2934800000003</v>
      </c>
      <c r="F151" s="61">
        <f t="shared" si="11"/>
        <v>2368.3494580000001</v>
      </c>
    </row>
    <row r="152" spans="1:7" x14ac:dyDescent="0.25">
      <c r="A152" s="37">
        <v>5</v>
      </c>
      <c r="B152" s="29">
        <v>728</v>
      </c>
      <c r="C152" s="68">
        <f>602+5</f>
        <v>607</v>
      </c>
      <c r="D152" s="29" t="s">
        <v>48</v>
      </c>
      <c r="E152" s="34">
        <f>C152*E2</f>
        <v>2988.1274600000002</v>
      </c>
      <c r="F152" s="61">
        <f t="shared" si="11"/>
        <v>2539.9083410000003</v>
      </c>
    </row>
    <row r="153" spans="1:7" x14ac:dyDescent="0.25">
      <c r="A153" s="37">
        <v>6</v>
      </c>
      <c r="B153" s="29">
        <v>803</v>
      </c>
      <c r="C153" s="68">
        <f>659+5</f>
        <v>664</v>
      </c>
      <c r="D153" s="29" t="s">
        <v>4</v>
      </c>
      <c r="E153" s="34">
        <f>C153*E2</f>
        <v>3268.7259200000003</v>
      </c>
      <c r="F153" s="61">
        <f t="shared" si="11"/>
        <v>2778.4170320000003</v>
      </c>
    </row>
    <row r="154" spans="1:7" x14ac:dyDescent="0.25">
      <c r="A154" s="37">
        <v>7</v>
      </c>
      <c r="B154" s="29">
        <v>878</v>
      </c>
      <c r="C154" s="68">
        <f>716+5</f>
        <v>721</v>
      </c>
      <c r="D154" s="29" t="s">
        <v>4</v>
      </c>
      <c r="E154" s="34">
        <f>C154*E2</f>
        <v>3549.3243800000005</v>
      </c>
      <c r="F154" s="61">
        <f t="shared" si="11"/>
        <v>3016.9257230000003</v>
      </c>
    </row>
    <row r="155" spans="1:7" x14ac:dyDescent="0.25">
      <c r="A155" s="37">
        <v>8</v>
      </c>
      <c r="B155" s="29">
        <v>912</v>
      </c>
      <c r="C155" s="68">
        <f>743+5</f>
        <v>748</v>
      </c>
      <c r="D155" s="29" t="s">
        <v>6</v>
      </c>
      <c r="E155" s="34">
        <f>C155*E2</f>
        <v>3682.2394400000003</v>
      </c>
      <c r="F155" s="61">
        <f t="shared" si="11"/>
        <v>3129.9035240000003</v>
      </c>
    </row>
    <row r="159" spans="1:7" ht="25.5" x14ac:dyDescent="0.25">
      <c r="A159" s="37" t="s">
        <v>53</v>
      </c>
      <c r="B159" s="29" t="s">
        <v>0</v>
      </c>
      <c r="C159" s="68" t="s">
        <v>1</v>
      </c>
      <c r="D159" s="29" t="s">
        <v>2</v>
      </c>
      <c r="E159" s="12" t="s">
        <v>7</v>
      </c>
      <c r="F159" s="62" t="s">
        <v>150</v>
      </c>
      <c r="G159" s="40" t="s">
        <v>110</v>
      </c>
    </row>
    <row r="160" spans="1:7" x14ac:dyDescent="0.25">
      <c r="A160" s="37">
        <v>1</v>
      </c>
      <c r="B160" s="29">
        <v>747</v>
      </c>
      <c r="C160" s="68">
        <f>617+5</f>
        <v>622</v>
      </c>
      <c r="D160" s="29" t="s">
        <v>3</v>
      </c>
      <c r="E160" s="34">
        <f>C160*E2</f>
        <v>3061.9691600000001</v>
      </c>
      <c r="F160" s="61">
        <f>E160*85%</f>
        <v>2602.6737859999998</v>
      </c>
    </row>
    <row r="161" spans="1:7" x14ac:dyDescent="0.25">
      <c r="A161" s="37">
        <v>2</v>
      </c>
      <c r="B161" s="29">
        <v>826</v>
      </c>
      <c r="C161" s="68">
        <f>677+5</f>
        <v>682</v>
      </c>
      <c r="D161" s="29" t="s">
        <v>18</v>
      </c>
      <c r="E161" s="34">
        <f>C161*E2</f>
        <v>3357.3359600000003</v>
      </c>
      <c r="F161" s="61">
        <f t="shared" ref="F161:F166" si="12">E161*85%</f>
        <v>2853.7355660000003</v>
      </c>
    </row>
    <row r="162" spans="1:7" x14ac:dyDescent="0.25">
      <c r="A162" s="37">
        <v>3</v>
      </c>
      <c r="B162" s="29">
        <v>924</v>
      </c>
      <c r="C162" s="68">
        <f>751+5</f>
        <v>756</v>
      </c>
      <c r="D162" s="29" t="s">
        <v>18</v>
      </c>
      <c r="E162" s="34">
        <f>C162*E2</f>
        <v>3721.6216800000002</v>
      </c>
      <c r="F162" s="61">
        <f t="shared" si="12"/>
        <v>3163.378428</v>
      </c>
    </row>
    <row r="163" spans="1:7" x14ac:dyDescent="0.25">
      <c r="A163" s="37">
        <v>4</v>
      </c>
      <c r="B163" s="29">
        <v>1015</v>
      </c>
      <c r="C163" s="68">
        <f>821+5</f>
        <v>826</v>
      </c>
      <c r="D163" s="29" t="s">
        <v>18</v>
      </c>
      <c r="E163" s="34">
        <f>C163*E2</f>
        <v>4066.2162800000001</v>
      </c>
      <c r="F163" s="61">
        <f t="shared" si="12"/>
        <v>3456.2838379999998</v>
      </c>
    </row>
    <row r="164" spans="1:7" x14ac:dyDescent="0.25">
      <c r="A164" s="37">
        <v>5</v>
      </c>
      <c r="B164" s="29">
        <v>1027</v>
      </c>
      <c r="C164" s="68">
        <f>830+5</f>
        <v>835</v>
      </c>
      <c r="D164" s="29" t="s">
        <v>4</v>
      </c>
      <c r="E164" s="34">
        <f>C164*E2</f>
        <v>4110.5213000000003</v>
      </c>
      <c r="F164" s="61">
        <f t="shared" si="12"/>
        <v>3493.9431050000003</v>
      </c>
    </row>
    <row r="165" spans="1:7" x14ac:dyDescent="0.25">
      <c r="A165" s="37">
        <v>6</v>
      </c>
      <c r="B165" s="29" t="s">
        <v>91</v>
      </c>
      <c r="C165" s="68">
        <f>890+5</f>
        <v>895</v>
      </c>
      <c r="D165" s="29" t="s">
        <v>5</v>
      </c>
      <c r="E165" s="34">
        <f>C165*E2</f>
        <v>4405.8881000000001</v>
      </c>
      <c r="F165" s="61">
        <f t="shared" si="12"/>
        <v>3745.0048849999998</v>
      </c>
    </row>
    <row r="166" spans="1:7" x14ac:dyDescent="0.25">
      <c r="A166" s="37">
        <v>7</v>
      </c>
      <c r="B166" s="29" t="s">
        <v>98</v>
      </c>
      <c r="C166" s="68">
        <f>972+5</f>
        <v>977</v>
      </c>
      <c r="D166" s="29" t="s">
        <v>6</v>
      </c>
      <c r="E166" s="34">
        <f>C166*E2</f>
        <v>4809.5560600000008</v>
      </c>
      <c r="F166" s="61">
        <f t="shared" si="12"/>
        <v>4088.1226510000006</v>
      </c>
    </row>
    <row r="170" spans="1:7" ht="25.5" x14ac:dyDescent="0.25">
      <c r="A170" s="37" t="s">
        <v>53</v>
      </c>
      <c r="B170" s="29" t="s">
        <v>0</v>
      </c>
      <c r="C170" s="68" t="s">
        <v>1</v>
      </c>
      <c r="D170" s="29" t="s">
        <v>2</v>
      </c>
      <c r="E170" s="12" t="s">
        <v>7</v>
      </c>
      <c r="F170" s="62" t="s">
        <v>150</v>
      </c>
      <c r="G170" s="40" t="s">
        <v>111</v>
      </c>
    </row>
    <row r="171" spans="1:7" x14ac:dyDescent="0.25">
      <c r="A171" s="37">
        <v>1</v>
      </c>
      <c r="B171" s="29">
        <v>510</v>
      </c>
      <c r="C171" s="68">
        <f>439+5</f>
        <v>444</v>
      </c>
      <c r="D171" s="29" t="s">
        <v>18</v>
      </c>
      <c r="E171" s="34">
        <f>C171*E2</f>
        <v>2185.71432</v>
      </c>
      <c r="F171" s="61">
        <f>E171*85%</f>
        <v>1857.857172</v>
      </c>
    </row>
    <row r="172" spans="1:7" x14ac:dyDescent="0.25">
      <c r="A172" s="37">
        <v>2</v>
      </c>
      <c r="B172" s="29">
        <v>551</v>
      </c>
      <c r="C172" s="68">
        <f>468+5</f>
        <v>473</v>
      </c>
      <c r="D172" s="29" t="s">
        <v>18</v>
      </c>
      <c r="E172" s="34">
        <f>C172*E2</f>
        <v>2328.4749400000001</v>
      </c>
      <c r="F172" s="61">
        <f t="shared" ref="F172:F177" si="13">E172*85%</f>
        <v>1979.2036989999999</v>
      </c>
    </row>
    <row r="173" spans="1:7" x14ac:dyDescent="0.25">
      <c r="A173" s="37">
        <v>3</v>
      </c>
      <c r="B173" s="29">
        <v>605</v>
      </c>
      <c r="C173" s="68">
        <f>509+5</f>
        <v>514</v>
      </c>
      <c r="D173" s="29" t="s">
        <v>48</v>
      </c>
      <c r="E173" s="34">
        <f>C173*E2</f>
        <v>2530.3089200000004</v>
      </c>
      <c r="F173" s="61">
        <f t="shared" si="13"/>
        <v>2150.7625820000003</v>
      </c>
    </row>
    <row r="174" spans="1:7" x14ac:dyDescent="0.25">
      <c r="A174" s="37">
        <v>4</v>
      </c>
      <c r="B174" s="29">
        <v>659</v>
      </c>
      <c r="C174" s="68">
        <f>550+5</f>
        <v>555</v>
      </c>
      <c r="D174" s="29" t="s">
        <v>48</v>
      </c>
      <c r="E174" s="34">
        <f>C174*E2</f>
        <v>2732.1429000000003</v>
      </c>
      <c r="F174" s="61">
        <f t="shared" si="13"/>
        <v>2322.321465</v>
      </c>
    </row>
    <row r="175" spans="1:7" x14ac:dyDescent="0.25">
      <c r="A175" s="37">
        <v>5</v>
      </c>
      <c r="B175" s="29">
        <v>713</v>
      </c>
      <c r="C175" s="68">
        <f>591+5</f>
        <v>596</v>
      </c>
      <c r="D175" s="29" t="s">
        <v>48</v>
      </c>
      <c r="E175" s="34">
        <f>C175*E2</f>
        <v>2933.9768800000002</v>
      </c>
      <c r="F175" s="61">
        <f t="shared" si="13"/>
        <v>2493.8803480000001</v>
      </c>
    </row>
    <row r="176" spans="1:7" x14ac:dyDescent="0.25">
      <c r="A176" s="37">
        <v>6</v>
      </c>
      <c r="B176" s="29">
        <v>787</v>
      </c>
      <c r="C176" s="68">
        <f>648+5</f>
        <v>653</v>
      </c>
      <c r="D176" s="29" t="s">
        <v>4</v>
      </c>
      <c r="E176" s="34">
        <f>C176*E2</f>
        <v>3214.5753400000003</v>
      </c>
      <c r="F176" s="61">
        <f t="shared" si="13"/>
        <v>2732.3890390000001</v>
      </c>
    </row>
    <row r="177" spans="1:7" x14ac:dyDescent="0.25">
      <c r="A177" s="37">
        <v>7</v>
      </c>
      <c r="B177" s="29">
        <v>862</v>
      </c>
      <c r="C177" s="68">
        <f>705+5</f>
        <v>710</v>
      </c>
      <c r="D177" s="29" t="s">
        <v>6</v>
      </c>
      <c r="E177" s="34">
        <f>C177*E2</f>
        <v>3495.1738000000005</v>
      </c>
      <c r="F177" s="61">
        <f t="shared" si="13"/>
        <v>2970.8977300000001</v>
      </c>
    </row>
    <row r="181" spans="1:7" ht="25.5" x14ac:dyDescent="0.25">
      <c r="A181" s="37" t="s">
        <v>53</v>
      </c>
      <c r="B181" s="29" t="s">
        <v>0</v>
      </c>
      <c r="C181" s="68" t="s">
        <v>1</v>
      </c>
      <c r="D181" s="29" t="s">
        <v>2</v>
      </c>
      <c r="E181" s="12" t="s">
        <v>7</v>
      </c>
      <c r="F181" s="62" t="s">
        <v>150</v>
      </c>
      <c r="G181" s="40" t="s">
        <v>112</v>
      </c>
    </row>
    <row r="182" spans="1:7" x14ac:dyDescent="0.25">
      <c r="A182" s="37">
        <v>1</v>
      </c>
      <c r="B182" s="29">
        <v>713</v>
      </c>
      <c r="C182" s="68">
        <f>591+5</f>
        <v>596</v>
      </c>
      <c r="D182" s="29" t="s">
        <v>3</v>
      </c>
      <c r="E182" s="34">
        <f>C182*E2</f>
        <v>2933.9768800000002</v>
      </c>
      <c r="F182" s="61">
        <f>E182*85%</f>
        <v>2493.8803480000001</v>
      </c>
    </row>
    <row r="183" spans="1:7" x14ac:dyDescent="0.25">
      <c r="A183" s="37">
        <v>2</v>
      </c>
      <c r="B183" s="29">
        <v>792</v>
      </c>
      <c r="C183" s="68">
        <f>651+5</f>
        <v>656</v>
      </c>
      <c r="D183" s="29" t="s">
        <v>18</v>
      </c>
      <c r="E183" s="34">
        <f>C183*E2</f>
        <v>3229.3436800000004</v>
      </c>
      <c r="F183" s="61">
        <f t="shared" ref="F183:F187" si="14">E183*85%</f>
        <v>2744.9421280000001</v>
      </c>
    </row>
    <row r="184" spans="1:7" x14ac:dyDescent="0.25">
      <c r="A184" s="37">
        <v>3</v>
      </c>
      <c r="B184" s="29">
        <v>883</v>
      </c>
      <c r="C184" s="68">
        <f>720+5</f>
        <v>725</v>
      </c>
      <c r="D184" s="29" t="s">
        <v>18</v>
      </c>
      <c r="E184" s="34">
        <f>C184*E2</f>
        <v>3569.0155000000004</v>
      </c>
      <c r="F184" s="61">
        <f t="shared" si="14"/>
        <v>3033.6631750000001</v>
      </c>
    </row>
    <row r="185" spans="1:7" x14ac:dyDescent="0.25">
      <c r="A185" s="37">
        <v>4</v>
      </c>
      <c r="B185" s="29">
        <v>977</v>
      </c>
      <c r="C185" s="68">
        <f>792+5</f>
        <v>797</v>
      </c>
      <c r="D185" s="29" t="s">
        <v>18</v>
      </c>
      <c r="E185" s="34">
        <f>C185*E2</f>
        <v>3923.4556600000001</v>
      </c>
      <c r="F185" s="61">
        <f t="shared" si="14"/>
        <v>3334.9373110000001</v>
      </c>
    </row>
    <row r="186" spans="1:7" x14ac:dyDescent="0.25">
      <c r="A186" s="37">
        <v>5</v>
      </c>
      <c r="B186" s="29">
        <v>1027</v>
      </c>
      <c r="C186" s="68">
        <f>830+5</f>
        <v>835</v>
      </c>
      <c r="D186" s="29" t="s">
        <v>4</v>
      </c>
      <c r="E186" s="34">
        <f>C186*E2</f>
        <v>4110.5213000000003</v>
      </c>
      <c r="F186" s="61">
        <f t="shared" si="14"/>
        <v>3493.9431050000003</v>
      </c>
    </row>
    <row r="187" spans="1:7" x14ac:dyDescent="0.25">
      <c r="A187" s="37">
        <v>6</v>
      </c>
      <c r="B187" s="29" t="s">
        <v>91</v>
      </c>
      <c r="C187" s="68">
        <f>890+5</f>
        <v>895</v>
      </c>
      <c r="D187" s="29" t="s">
        <v>6</v>
      </c>
      <c r="E187" s="34">
        <f>C187*E2</f>
        <v>4405.8881000000001</v>
      </c>
      <c r="F187" s="61">
        <f t="shared" si="14"/>
        <v>3745.0048849999998</v>
      </c>
    </row>
    <row r="191" spans="1:7" ht="25.5" x14ac:dyDescent="0.25">
      <c r="A191" s="37" t="s">
        <v>53</v>
      </c>
      <c r="B191" s="29" t="s">
        <v>0</v>
      </c>
      <c r="C191" s="68" t="s">
        <v>1</v>
      </c>
      <c r="D191" s="29" t="s">
        <v>2</v>
      </c>
      <c r="E191" s="12" t="s">
        <v>7</v>
      </c>
      <c r="F191" s="62" t="s">
        <v>150</v>
      </c>
      <c r="G191" s="40" t="s">
        <v>114</v>
      </c>
    </row>
    <row r="192" spans="1:7" x14ac:dyDescent="0.25">
      <c r="A192" s="37">
        <v>1</v>
      </c>
      <c r="B192" s="29">
        <v>450</v>
      </c>
      <c r="C192" s="68">
        <f>395+5</f>
        <v>400</v>
      </c>
      <c r="D192" s="29" t="s">
        <v>82</v>
      </c>
      <c r="E192" s="34">
        <f>C192*E2</f>
        <v>1969.1120000000001</v>
      </c>
      <c r="F192" s="61">
        <f>E192*85%</f>
        <v>1673.7452000000001</v>
      </c>
    </row>
    <row r="193" spans="1:7" x14ac:dyDescent="0.25">
      <c r="A193" s="37">
        <v>2</v>
      </c>
      <c r="B193" s="29">
        <v>488</v>
      </c>
      <c r="C193" s="68">
        <f>422+5</f>
        <v>427</v>
      </c>
      <c r="D193" s="29" t="s">
        <v>48</v>
      </c>
      <c r="E193" s="34">
        <f>C193*E2</f>
        <v>2102.0270600000003</v>
      </c>
      <c r="F193" s="61">
        <f t="shared" ref="F193:F200" si="15">E193*85%</f>
        <v>1786.7230010000003</v>
      </c>
    </row>
    <row r="194" spans="1:7" x14ac:dyDescent="0.25">
      <c r="A194" s="37">
        <v>3</v>
      </c>
      <c r="B194" s="29">
        <v>519</v>
      </c>
      <c r="C194" s="68">
        <f>446+5</f>
        <v>451</v>
      </c>
      <c r="D194" s="29" t="s">
        <v>4</v>
      </c>
      <c r="E194" s="34">
        <f>C194*E2</f>
        <v>2220.1737800000001</v>
      </c>
      <c r="F194" s="61">
        <f t="shared" si="15"/>
        <v>1887.1477130000001</v>
      </c>
    </row>
    <row r="195" spans="1:7" x14ac:dyDescent="0.25">
      <c r="A195" s="37">
        <v>4</v>
      </c>
      <c r="B195" s="29">
        <v>558</v>
      </c>
      <c r="C195" s="68">
        <f>473+5</f>
        <v>478</v>
      </c>
      <c r="D195" s="29" t="s">
        <v>4</v>
      </c>
      <c r="E195" s="34">
        <f>C195*E2</f>
        <v>2353.0888400000003</v>
      </c>
      <c r="F195" s="61">
        <f t="shared" si="15"/>
        <v>2000.1255140000003</v>
      </c>
    </row>
    <row r="196" spans="1:7" x14ac:dyDescent="0.25">
      <c r="A196" s="37">
        <v>5</v>
      </c>
      <c r="B196" s="29">
        <v>608</v>
      </c>
      <c r="C196" s="68">
        <f>511+5</f>
        <v>516</v>
      </c>
      <c r="D196" s="29" t="s">
        <v>4</v>
      </c>
      <c r="E196" s="34">
        <f>C196*E2</f>
        <v>2540.1544800000001</v>
      </c>
      <c r="F196" s="61">
        <f t="shared" si="15"/>
        <v>2159.131308</v>
      </c>
    </row>
    <row r="197" spans="1:7" x14ac:dyDescent="0.25">
      <c r="A197" s="37">
        <v>6</v>
      </c>
      <c r="B197" s="29">
        <v>668</v>
      </c>
      <c r="C197" s="68">
        <f>557+5</f>
        <v>562</v>
      </c>
      <c r="D197" s="29" t="s">
        <v>113</v>
      </c>
      <c r="E197" s="34">
        <f>C197*E2</f>
        <v>2766.6023600000003</v>
      </c>
      <c r="F197" s="61">
        <f t="shared" si="15"/>
        <v>2351.6120060000003</v>
      </c>
    </row>
    <row r="198" spans="1:7" x14ac:dyDescent="0.25">
      <c r="A198" s="37">
        <v>7</v>
      </c>
      <c r="B198" s="29">
        <v>712</v>
      </c>
      <c r="C198" s="68">
        <f>590+5</f>
        <v>595</v>
      </c>
      <c r="D198" s="29" t="s">
        <v>113</v>
      </c>
      <c r="E198" s="34">
        <f>C198*E2</f>
        <v>2929.0541000000003</v>
      </c>
      <c r="F198" s="61">
        <f t="shared" si="15"/>
        <v>2489.6959850000003</v>
      </c>
    </row>
    <row r="199" spans="1:7" x14ac:dyDescent="0.25">
      <c r="A199" s="37">
        <v>8</v>
      </c>
      <c r="B199" s="29">
        <v>763</v>
      </c>
      <c r="C199" s="68">
        <f>629+5</f>
        <v>634</v>
      </c>
      <c r="D199" s="29" t="s">
        <v>113</v>
      </c>
      <c r="E199" s="34">
        <f>C199*E2</f>
        <v>3121.0425200000004</v>
      </c>
      <c r="F199" s="61">
        <f t="shared" si="15"/>
        <v>2652.8861420000003</v>
      </c>
    </row>
    <row r="200" spans="1:7" x14ac:dyDescent="0.25">
      <c r="A200" s="37">
        <v>9</v>
      </c>
      <c r="B200" s="29">
        <v>821</v>
      </c>
      <c r="C200" s="68">
        <f>673+5</f>
        <v>678</v>
      </c>
      <c r="D200" s="29" t="s">
        <v>6</v>
      </c>
      <c r="E200" s="34">
        <f>C200*E2</f>
        <v>3337.6448400000004</v>
      </c>
      <c r="F200" s="61">
        <f t="shared" si="15"/>
        <v>2836.9981140000004</v>
      </c>
    </row>
    <row r="204" spans="1:7" ht="25.5" x14ac:dyDescent="0.25">
      <c r="A204" s="37" t="s">
        <v>53</v>
      </c>
      <c r="B204" s="29" t="s">
        <v>0</v>
      </c>
      <c r="C204" s="68" t="s">
        <v>1</v>
      </c>
      <c r="D204" s="29" t="s">
        <v>2</v>
      </c>
      <c r="E204" s="12" t="s">
        <v>7</v>
      </c>
      <c r="F204" s="62" t="s">
        <v>150</v>
      </c>
      <c r="G204" s="40" t="s">
        <v>115</v>
      </c>
    </row>
    <row r="205" spans="1:7" x14ac:dyDescent="0.25">
      <c r="A205" s="37">
        <v>1</v>
      </c>
      <c r="B205" s="29">
        <v>620</v>
      </c>
      <c r="C205" s="68">
        <f>520+5</f>
        <v>525</v>
      </c>
      <c r="D205" s="29" t="s">
        <v>48</v>
      </c>
      <c r="E205" s="34">
        <f>C205*E2</f>
        <v>2584.4595000000004</v>
      </c>
      <c r="F205" s="61">
        <f>E205*85%</f>
        <v>2196.7905750000004</v>
      </c>
    </row>
    <row r="206" spans="1:7" x14ac:dyDescent="0.25">
      <c r="A206" s="37">
        <v>2</v>
      </c>
      <c r="B206" s="29">
        <v>712</v>
      </c>
      <c r="C206" s="68">
        <f>590+5</f>
        <v>595</v>
      </c>
      <c r="D206" s="29" t="s">
        <v>48</v>
      </c>
      <c r="E206" s="34">
        <f>C206*E2</f>
        <v>2929.0541000000003</v>
      </c>
      <c r="F206" s="61">
        <f t="shared" ref="F206:F212" si="16">E206*85%</f>
        <v>2489.6959850000003</v>
      </c>
    </row>
    <row r="207" spans="1:7" x14ac:dyDescent="0.25">
      <c r="A207" s="37">
        <v>3</v>
      </c>
      <c r="B207" s="29">
        <v>757</v>
      </c>
      <c r="C207" s="68">
        <f>624+5</f>
        <v>629</v>
      </c>
      <c r="D207" s="29" t="s">
        <v>48</v>
      </c>
      <c r="E207" s="34">
        <f>C207*E2</f>
        <v>3096.4286200000001</v>
      </c>
      <c r="F207" s="61">
        <f t="shared" si="16"/>
        <v>2631.9643270000001</v>
      </c>
    </row>
    <row r="208" spans="1:7" x14ac:dyDescent="0.25">
      <c r="A208" s="37">
        <v>4</v>
      </c>
      <c r="B208" s="29">
        <v>815</v>
      </c>
      <c r="C208" s="68">
        <f>668+5</f>
        <v>673</v>
      </c>
      <c r="D208" s="29" t="s">
        <v>48</v>
      </c>
      <c r="E208" s="34">
        <f>C208*E2</f>
        <v>3313.0309400000001</v>
      </c>
      <c r="F208" s="61">
        <f t="shared" si="16"/>
        <v>2816.0762989999998</v>
      </c>
    </row>
    <row r="209" spans="1:7" x14ac:dyDescent="0.25">
      <c r="A209" s="37">
        <v>5</v>
      </c>
      <c r="B209" s="29">
        <v>876</v>
      </c>
      <c r="C209" s="68">
        <f>715+5</f>
        <v>720</v>
      </c>
      <c r="D209" s="29" t="s">
        <v>4</v>
      </c>
      <c r="E209" s="34">
        <f>C209*E2</f>
        <v>3544.4016000000001</v>
      </c>
      <c r="F209" s="61">
        <f t="shared" si="16"/>
        <v>3012.74136</v>
      </c>
    </row>
    <row r="210" spans="1:7" x14ac:dyDescent="0.25">
      <c r="A210" s="37">
        <v>6</v>
      </c>
      <c r="B210" s="29">
        <v>939</v>
      </c>
      <c r="C210" s="68">
        <f>763+5</f>
        <v>768</v>
      </c>
      <c r="D210" s="29" t="s">
        <v>4</v>
      </c>
      <c r="E210" s="34">
        <f>C210*E2</f>
        <v>3780.6950400000005</v>
      </c>
      <c r="F210" s="61">
        <f t="shared" si="16"/>
        <v>3213.5907840000004</v>
      </c>
    </row>
    <row r="211" spans="1:7" x14ac:dyDescent="0.25">
      <c r="A211" s="37">
        <v>7</v>
      </c>
      <c r="B211" s="29">
        <v>995</v>
      </c>
      <c r="C211" s="68">
        <f>806+5</f>
        <v>811</v>
      </c>
      <c r="D211" s="29" t="s">
        <v>4</v>
      </c>
      <c r="E211" s="34">
        <f>C211*E2</f>
        <v>3992.3745800000002</v>
      </c>
      <c r="F211" s="61">
        <f t="shared" si="16"/>
        <v>3393.5183929999998</v>
      </c>
    </row>
    <row r="212" spans="1:7" x14ac:dyDescent="0.25">
      <c r="A212" s="37">
        <v>8</v>
      </c>
      <c r="B212" s="29">
        <v>1015</v>
      </c>
      <c r="C212" s="68">
        <f>821+5</f>
        <v>826</v>
      </c>
      <c r="D212" s="29" t="s">
        <v>6</v>
      </c>
      <c r="E212" s="34">
        <f>C212*E2</f>
        <v>4066.2162800000001</v>
      </c>
      <c r="F212" s="61">
        <f t="shared" si="16"/>
        <v>3456.2838379999998</v>
      </c>
    </row>
    <row r="216" spans="1:7" ht="25.5" x14ac:dyDescent="0.25">
      <c r="A216" s="37" t="s">
        <v>53</v>
      </c>
      <c r="B216" s="29" t="s">
        <v>0</v>
      </c>
      <c r="C216" s="68" t="s">
        <v>1</v>
      </c>
      <c r="D216" s="29" t="s">
        <v>2</v>
      </c>
      <c r="E216" s="12" t="s">
        <v>7</v>
      </c>
      <c r="F216" s="62" t="s">
        <v>150</v>
      </c>
      <c r="G216" s="40" t="s">
        <v>116</v>
      </c>
    </row>
    <row r="217" spans="1:7" x14ac:dyDescent="0.25">
      <c r="A217" s="37">
        <v>1</v>
      </c>
      <c r="B217" s="29">
        <v>588</v>
      </c>
      <c r="C217" s="68">
        <f>496+5</f>
        <v>501</v>
      </c>
      <c r="D217" s="29" t="s">
        <v>82</v>
      </c>
      <c r="E217" s="34">
        <f>C217*E2</f>
        <v>2466.3127800000002</v>
      </c>
      <c r="F217" s="61">
        <f>E217*85%</f>
        <v>2096.365863</v>
      </c>
    </row>
    <row r="218" spans="1:7" x14ac:dyDescent="0.25">
      <c r="A218" s="37">
        <v>2</v>
      </c>
      <c r="B218" s="29">
        <v>620</v>
      </c>
      <c r="C218" s="68">
        <f>520+5</f>
        <v>525</v>
      </c>
      <c r="D218" s="29" t="s">
        <v>4</v>
      </c>
      <c r="E218" s="34">
        <f>C218*E2</f>
        <v>2584.4595000000004</v>
      </c>
      <c r="F218" s="61">
        <f t="shared" ref="F218:F226" si="17">E218*85%</f>
        <v>2196.7905750000004</v>
      </c>
    </row>
    <row r="219" spans="1:7" x14ac:dyDescent="0.25">
      <c r="A219" s="37">
        <v>3</v>
      </c>
      <c r="B219" s="29">
        <v>668</v>
      </c>
      <c r="C219" s="68">
        <f>557+5</f>
        <v>562</v>
      </c>
      <c r="D219" s="29" t="s">
        <v>4</v>
      </c>
      <c r="E219" s="34">
        <f>C219*E2</f>
        <v>2766.6023600000003</v>
      </c>
      <c r="F219" s="61">
        <f t="shared" si="17"/>
        <v>2351.6120060000003</v>
      </c>
    </row>
    <row r="220" spans="1:7" x14ac:dyDescent="0.25">
      <c r="A220" s="37">
        <v>4</v>
      </c>
      <c r="B220" s="29">
        <v>726</v>
      </c>
      <c r="C220" s="68">
        <f>601+5</f>
        <v>606</v>
      </c>
      <c r="D220" s="29" t="s">
        <v>4</v>
      </c>
      <c r="E220" s="34">
        <f>C220*E2</f>
        <v>2983.2046800000003</v>
      </c>
      <c r="F220" s="61">
        <f t="shared" si="17"/>
        <v>2535.723978</v>
      </c>
    </row>
    <row r="221" spans="1:7" x14ac:dyDescent="0.25">
      <c r="A221" s="37">
        <v>5</v>
      </c>
      <c r="B221" s="29">
        <v>767</v>
      </c>
      <c r="C221" s="68">
        <f>632+5</f>
        <v>637</v>
      </c>
      <c r="D221" s="29" t="s">
        <v>113</v>
      </c>
      <c r="E221" s="34">
        <f>C221*E2</f>
        <v>3135.81086</v>
      </c>
      <c r="F221" s="61">
        <f t="shared" si="17"/>
        <v>2665.4392309999998</v>
      </c>
    </row>
    <row r="222" spans="1:7" x14ac:dyDescent="0.25">
      <c r="A222" s="37">
        <v>6</v>
      </c>
      <c r="B222" s="29">
        <v>815</v>
      </c>
      <c r="C222" s="68">
        <f>668+5</f>
        <v>673</v>
      </c>
      <c r="D222" s="29" t="s">
        <v>113</v>
      </c>
      <c r="E222" s="34">
        <f>C222*E2</f>
        <v>3313.0309400000001</v>
      </c>
      <c r="F222" s="61">
        <f t="shared" si="17"/>
        <v>2816.0762989999998</v>
      </c>
    </row>
    <row r="223" spans="1:7" x14ac:dyDescent="0.25">
      <c r="A223" s="37">
        <v>7</v>
      </c>
      <c r="B223" s="29">
        <v>858</v>
      </c>
      <c r="C223" s="68">
        <f>701+5</f>
        <v>706</v>
      </c>
      <c r="D223" s="29" t="s">
        <v>113</v>
      </c>
      <c r="E223" s="34">
        <f>C223*E2</f>
        <v>3475.4826800000001</v>
      </c>
      <c r="F223" s="61">
        <f t="shared" si="17"/>
        <v>2954.1602779999998</v>
      </c>
    </row>
    <row r="224" spans="1:7" x14ac:dyDescent="0.25">
      <c r="A224" s="37">
        <v>8</v>
      </c>
      <c r="B224" s="29">
        <v>899</v>
      </c>
      <c r="C224" s="68">
        <f>732+5</f>
        <v>737</v>
      </c>
      <c r="D224" s="29" t="s">
        <v>113</v>
      </c>
      <c r="E224" s="34">
        <f>C224*E2</f>
        <v>3628.0888600000003</v>
      </c>
      <c r="F224" s="61">
        <f t="shared" si="17"/>
        <v>3083.8755310000001</v>
      </c>
    </row>
    <row r="225" spans="1:7" x14ac:dyDescent="0.25">
      <c r="A225" s="37">
        <v>9</v>
      </c>
      <c r="B225" s="29">
        <v>950</v>
      </c>
      <c r="C225" s="68">
        <f>771+5</f>
        <v>776</v>
      </c>
      <c r="D225" s="29" t="s">
        <v>113</v>
      </c>
      <c r="E225" s="34">
        <f>C225*E2</f>
        <v>3820.0772800000004</v>
      </c>
      <c r="F225" s="61">
        <f t="shared" si="17"/>
        <v>3247.0656880000001</v>
      </c>
    </row>
    <row r="226" spans="1:7" x14ac:dyDescent="0.25">
      <c r="A226" s="37">
        <v>10</v>
      </c>
      <c r="B226" s="29">
        <v>1020</v>
      </c>
      <c r="C226" s="68">
        <f>824+5</f>
        <v>829</v>
      </c>
      <c r="D226" s="29" t="s">
        <v>6</v>
      </c>
      <c r="E226" s="34">
        <f>C226*E2</f>
        <v>4080.9846200000002</v>
      </c>
      <c r="F226" s="61">
        <f t="shared" si="17"/>
        <v>3468.8369270000003</v>
      </c>
    </row>
    <row r="230" spans="1:7" ht="25.5" x14ac:dyDescent="0.25">
      <c r="A230" s="37" t="s">
        <v>53</v>
      </c>
      <c r="B230" s="29" t="s">
        <v>0</v>
      </c>
      <c r="C230" s="68" t="s">
        <v>1</v>
      </c>
      <c r="D230" s="29" t="s">
        <v>2</v>
      </c>
      <c r="E230" s="12" t="s">
        <v>7</v>
      </c>
      <c r="F230" s="62" t="s">
        <v>150</v>
      </c>
      <c r="G230" s="40" t="s">
        <v>117</v>
      </c>
    </row>
    <row r="231" spans="1:7" x14ac:dyDescent="0.25">
      <c r="A231" s="37">
        <v>1</v>
      </c>
      <c r="B231" s="29">
        <v>601</v>
      </c>
      <c r="C231" s="68">
        <f>506+5</f>
        <v>511</v>
      </c>
      <c r="D231" s="29" t="s">
        <v>82</v>
      </c>
      <c r="E231" s="34">
        <f>C231*E2</f>
        <v>2515.5405800000003</v>
      </c>
      <c r="F231" s="61">
        <f>E231*85%</f>
        <v>2138.2094930000003</v>
      </c>
    </row>
    <row r="232" spans="1:7" x14ac:dyDescent="0.25">
      <c r="A232" s="37">
        <v>2</v>
      </c>
      <c r="B232" s="29">
        <v>641</v>
      </c>
      <c r="C232" s="68">
        <f>536+5</f>
        <v>541</v>
      </c>
      <c r="D232" s="29" t="s">
        <v>4</v>
      </c>
      <c r="E232" s="34">
        <f>C232*E2</f>
        <v>2663.2239800000002</v>
      </c>
      <c r="F232" s="61">
        <f t="shared" ref="F232:F239" si="18">E232*85%</f>
        <v>2263.7403830000003</v>
      </c>
    </row>
    <row r="233" spans="1:7" x14ac:dyDescent="0.25">
      <c r="A233" s="37">
        <v>3</v>
      </c>
      <c r="B233" s="29">
        <v>690</v>
      </c>
      <c r="C233" s="68">
        <f>573+5</f>
        <v>578</v>
      </c>
      <c r="D233" s="29" t="s">
        <v>4</v>
      </c>
      <c r="E233" s="34">
        <f>C233*E2</f>
        <v>2845.3668400000001</v>
      </c>
      <c r="F233" s="61">
        <f t="shared" si="18"/>
        <v>2418.5618140000001</v>
      </c>
    </row>
    <row r="234" spans="1:7" x14ac:dyDescent="0.25">
      <c r="A234" s="37">
        <v>4</v>
      </c>
      <c r="B234" s="29">
        <v>742</v>
      </c>
      <c r="C234" s="68">
        <f>613+5</f>
        <v>618</v>
      </c>
      <c r="D234" s="29" t="s">
        <v>4</v>
      </c>
      <c r="E234" s="34">
        <f>C234*E2</f>
        <v>3042.2780400000001</v>
      </c>
      <c r="F234" s="61">
        <f t="shared" si="18"/>
        <v>2585.936334</v>
      </c>
    </row>
    <row r="235" spans="1:7" x14ac:dyDescent="0.25">
      <c r="A235" s="37">
        <v>5</v>
      </c>
      <c r="B235" s="29">
        <v>797</v>
      </c>
      <c r="C235" s="68">
        <f>655+5</f>
        <v>660</v>
      </c>
      <c r="D235" s="29" t="s">
        <v>113</v>
      </c>
      <c r="E235" s="34">
        <f>C235*E2</f>
        <v>3249.0348000000004</v>
      </c>
      <c r="F235" s="61">
        <f t="shared" si="18"/>
        <v>2761.6795800000004</v>
      </c>
    </row>
    <row r="236" spans="1:7" x14ac:dyDescent="0.25">
      <c r="A236" s="37">
        <v>6</v>
      </c>
      <c r="B236" s="29">
        <v>862</v>
      </c>
      <c r="C236" s="68">
        <f>705+5</f>
        <v>710</v>
      </c>
      <c r="D236" s="29" t="s">
        <v>113</v>
      </c>
      <c r="E236" s="34">
        <f>C236*E2</f>
        <v>3495.1738000000005</v>
      </c>
      <c r="F236" s="61">
        <f t="shared" si="18"/>
        <v>2970.8977300000001</v>
      </c>
    </row>
    <row r="237" spans="1:7" x14ac:dyDescent="0.25">
      <c r="A237" s="37">
        <v>7</v>
      </c>
      <c r="B237" s="29">
        <v>929</v>
      </c>
      <c r="C237" s="68">
        <f>755+5</f>
        <v>760</v>
      </c>
      <c r="D237" s="29" t="s">
        <v>113</v>
      </c>
      <c r="E237" s="34">
        <f>C237*E2</f>
        <v>3741.3128000000002</v>
      </c>
      <c r="F237" s="61">
        <f t="shared" si="18"/>
        <v>3180.1158799999998</v>
      </c>
    </row>
    <row r="238" spans="1:7" x14ac:dyDescent="0.25">
      <c r="A238" s="37">
        <v>8</v>
      </c>
      <c r="B238" s="29">
        <v>979</v>
      </c>
      <c r="C238" s="68">
        <f>793+5</f>
        <v>798</v>
      </c>
      <c r="D238" s="29" t="s">
        <v>113</v>
      </c>
      <c r="E238" s="34">
        <f>C238*E2</f>
        <v>3928.3784400000004</v>
      </c>
      <c r="F238" s="61">
        <f t="shared" si="18"/>
        <v>3339.1216740000004</v>
      </c>
    </row>
    <row r="239" spans="1:7" x14ac:dyDescent="0.25">
      <c r="A239" s="37">
        <v>9</v>
      </c>
      <c r="B239" s="29">
        <v>1027</v>
      </c>
      <c r="C239" s="68">
        <f>830+5</f>
        <v>835</v>
      </c>
      <c r="D239" s="29" t="s">
        <v>6</v>
      </c>
      <c r="E239" s="34">
        <f>C239*E2</f>
        <v>4110.5213000000003</v>
      </c>
      <c r="F239" s="61">
        <f t="shared" si="18"/>
        <v>3493.9431050000003</v>
      </c>
    </row>
    <row r="243" spans="1:7" ht="25.5" x14ac:dyDescent="0.25">
      <c r="A243" s="37" t="s">
        <v>53</v>
      </c>
      <c r="B243" s="29" t="s">
        <v>0</v>
      </c>
      <c r="C243" s="68" t="s">
        <v>1</v>
      </c>
      <c r="D243" s="29" t="s">
        <v>2</v>
      </c>
      <c r="E243" s="12" t="s">
        <v>7</v>
      </c>
      <c r="F243" s="62" t="s">
        <v>150</v>
      </c>
      <c r="G243" s="40" t="s">
        <v>118</v>
      </c>
    </row>
    <row r="244" spans="1:7" x14ac:dyDescent="0.25">
      <c r="A244" s="37">
        <v>1</v>
      </c>
      <c r="B244" s="29">
        <v>444</v>
      </c>
      <c r="C244" s="68">
        <f>390+5</f>
        <v>395</v>
      </c>
      <c r="D244" s="29" t="s">
        <v>82</v>
      </c>
      <c r="E244" s="34">
        <f>C244*E2</f>
        <v>1944.4981000000002</v>
      </c>
      <c r="F244" s="61">
        <f>E244*85%</f>
        <v>1652.8233850000001</v>
      </c>
    </row>
    <row r="245" spans="1:7" x14ac:dyDescent="0.25">
      <c r="A245" s="37">
        <v>2</v>
      </c>
      <c r="B245" s="29">
        <v>469</v>
      </c>
      <c r="C245" s="68">
        <f>410+5</f>
        <v>415</v>
      </c>
      <c r="D245" s="29" t="s">
        <v>18</v>
      </c>
      <c r="E245" s="34">
        <f>C245*E2</f>
        <v>2042.9537000000003</v>
      </c>
      <c r="F245" s="61">
        <f t="shared" ref="F245:F254" si="19">E245*85%</f>
        <v>1736.5106450000001</v>
      </c>
    </row>
    <row r="246" spans="1:7" x14ac:dyDescent="0.25">
      <c r="A246" s="37">
        <v>3</v>
      </c>
      <c r="B246" s="29">
        <v>499</v>
      </c>
      <c r="C246" s="68">
        <f>430+5</f>
        <v>435</v>
      </c>
      <c r="D246" s="29" t="s">
        <v>18</v>
      </c>
      <c r="E246" s="34">
        <f>C246*E2</f>
        <v>2141.4093000000003</v>
      </c>
      <c r="F246" s="61">
        <f t="shared" si="19"/>
        <v>1820.1979050000002</v>
      </c>
    </row>
    <row r="247" spans="1:7" x14ac:dyDescent="0.25">
      <c r="A247" s="37">
        <v>4</v>
      </c>
      <c r="B247" s="29">
        <v>525</v>
      </c>
      <c r="C247" s="68">
        <f>450+5</f>
        <v>455</v>
      </c>
      <c r="D247" s="29" t="s">
        <v>18</v>
      </c>
      <c r="E247" s="34">
        <f>C247*E2</f>
        <v>2239.8649</v>
      </c>
      <c r="F247" s="61">
        <f t="shared" si="19"/>
        <v>1903.8851649999999</v>
      </c>
    </row>
    <row r="248" spans="1:7" x14ac:dyDescent="0.25">
      <c r="A248" s="37">
        <v>5</v>
      </c>
      <c r="B248" s="29">
        <v>567</v>
      </c>
      <c r="C248" s="68">
        <f>480+5</f>
        <v>485</v>
      </c>
      <c r="D248" s="29" t="s">
        <v>48</v>
      </c>
      <c r="E248" s="34">
        <f>C248*E2</f>
        <v>2387.5483000000004</v>
      </c>
      <c r="F248" s="61">
        <f t="shared" si="19"/>
        <v>2029.4160550000004</v>
      </c>
    </row>
    <row r="249" spans="1:7" x14ac:dyDescent="0.25">
      <c r="A249" s="37">
        <v>6</v>
      </c>
      <c r="B249" s="29">
        <v>611</v>
      </c>
      <c r="C249" s="68">
        <f>513+5</f>
        <v>518</v>
      </c>
      <c r="D249" s="29" t="s">
        <v>4</v>
      </c>
      <c r="E249" s="34">
        <f>C249*E2</f>
        <v>2550.0000400000004</v>
      </c>
      <c r="F249" s="61">
        <f t="shared" si="19"/>
        <v>2167.5000340000001</v>
      </c>
    </row>
    <row r="250" spans="1:7" x14ac:dyDescent="0.25">
      <c r="A250" s="37">
        <v>7</v>
      </c>
      <c r="B250" s="29">
        <v>653</v>
      </c>
      <c r="C250" s="68">
        <f>545+5</f>
        <v>550</v>
      </c>
      <c r="D250" s="29" t="s">
        <v>4</v>
      </c>
      <c r="E250" s="34">
        <f>C250*E2</f>
        <v>2707.529</v>
      </c>
      <c r="F250" s="61">
        <f t="shared" si="19"/>
        <v>2301.3996499999998</v>
      </c>
    </row>
    <row r="251" spans="1:7" x14ac:dyDescent="0.25">
      <c r="A251" s="37">
        <v>8</v>
      </c>
      <c r="B251" s="29">
        <v>693</v>
      </c>
      <c r="C251" s="68">
        <f>575+5</f>
        <v>580</v>
      </c>
      <c r="D251" s="29" t="s">
        <v>4</v>
      </c>
      <c r="E251" s="34">
        <f>C251*E2</f>
        <v>2855.2124000000003</v>
      </c>
      <c r="F251" s="61">
        <f t="shared" si="19"/>
        <v>2426.9305400000003</v>
      </c>
    </row>
    <row r="252" spans="1:7" x14ac:dyDescent="0.25">
      <c r="A252" s="37">
        <v>9</v>
      </c>
      <c r="B252" s="29">
        <v>732</v>
      </c>
      <c r="C252" s="68">
        <f>605+5</f>
        <v>610</v>
      </c>
      <c r="D252" s="29" t="s">
        <v>4</v>
      </c>
      <c r="E252" s="34">
        <f>C252*E2</f>
        <v>3002.8958000000002</v>
      </c>
      <c r="F252" s="61">
        <f t="shared" si="19"/>
        <v>2552.4614300000003</v>
      </c>
    </row>
    <row r="253" spans="1:7" x14ac:dyDescent="0.25">
      <c r="A253" s="37">
        <v>10</v>
      </c>
      <c r="B253" s="29">
        <v>778</v>
      </c>
      <c r="C253" s="68">
        <f>640+5</f>
        <v>645</v>
      </c>
      <c r="D253" s="29" t="s">
        <v>5</v>
      </c>
      <c r="E253" s="34">
        <f>C253*E2</f>
        <v>3175.1931000000004</v>
      </c>
      <c r="F253" s="61">
        <f t="shared" si="19"/>
        <v>2698.9141350000004</v>
      </c>
    </row>
    <row r="254" spans="1:7" x14ac:dyDescent="0.25">
      <c r="A254" s="37">
        <v>11</v>
      </c>
      <c r="B254" s="29">
        <v>821</v>
      </c>
      <c r="C254" s="68">
        <f>673+5</f>
        <v>678</v>
      </c>
      <c r="D254" s="29" t="s">
        <v>6</v>
      </c>
      <c r="E254" s="34">
        <f>C254*E2</f>
        <v>3337.6448400000004</v>
      </c>
      <c r="F254" s="61">
        <f t="shared" si="19"/>
        <v>2836.9981140000004</v>
      </c>
    </row>
    <row r="258" spans="1:7" ht="25.5" x14ac:dyDescent="0.25">
      <c r="A258" s="37" t="s">
        <v>53</v>
      </c>
      <c r="B258" s="29" t="s">
        <v>0</v>
      </c>
      <c r="C258" s="68" t="s">
        <v>1</v>
      </c>
      <c r="D258" s="29" t="s">
        <v>2</v>
      </c>
      <c r="E258" s="12" t="s">
        <v>7</v>
      </c>
      <c r="F258" s="62" t="s">
        <v>150</v>
      </c>
      <c r="G258" s="40" t="s">
        <v>119</v>
      </c>
    </row>
    <row r="259" spans="1:7" x14ac:dyDescent="0.25">
      <c r="A259" s="37">
        <v>1</v>
      </c>
      <c r="B259" s="29">
        <v>593</v>
      </c>
      <c r="C259" s="68">
        <f>500+5</f>
        <v>505</v>
      </c>
      <c r="D259" s="29" t="s">
        <v>18</v>
      </c>
      <c r="E259" s="34">
        <f>C259*E2</f>
        <v>2486.0039000000002</v>
      </c>
      <c r="F259" s="61">
        <f>E259*85%</f>
        <v>2113.1033150000003</v>
      </c>
    </row>
    <row r="260" spans="1:7" x14ac:dyDescent="0.25">
      <c r="A260" s="37">
        <v>2</v>
      </c>
      <c r="B260" s="29">
        <v>639</v>
      </c>
      <c r="C260" s="68">
        <f>535+5</f>
        <v>540</v>
      </c>
      <c r="D260" s="29" t="s">
        <v>18</v>
      </c>
      <c r="E260" s="34">
        <f>C260*E2</f>
        <v>2658.3012000000003</v>
      </c>
      <c r="F260" s="61">
        <f t="shared" ref="F260:F268" si="20">E260*85%</f>
        <v>2259.5560200000004</v>
      </c>
    </row>
    <row r="261" spans="1:7" x14ac:dyDescent="0.25">
      <c r="A261" s="37">
        <v>3</v>
      </c>
      <c r="B261" s="29">
        <v>693</v>
      </c>
      <c r="C261" s="68">
        <f>575+5</f>
        <v>580</v>
      </c>
      <c r="D261" s="29" t="s">
        <v>18</v>
      </c>
      <c r="E261" s="34">
        <f>C261*E2</f>
        <v>2855.2124000000003</v>
      </c>
      <c r="F261" s="61">
        <f t="shared" si="20"/>
        <v>2426.9305400000003</v>
      </c>
    </row>
    <row r="262" spans="1:7" x14ac:dyDescent="0.25">
      <c r="A262" s="37">
        <v>4</v>
      </c>
      <c r="B262" s="29">
        <v>732</v>
      </c>
      <c r="C262" s="68">
        <f>605+5</f>
        <v>610</v>
      </c>
      <c r="D262" s="29" t="s">
        <v>18</v>
      </c>
      <c r="E262" s="34">
        <f>C262*E2</f>
        <v>3002.8958000000002</v>
      </c>
      <c r="F262" s="61">
        <f t="shared" si="20"/>
        <v>2552.4614300000003</v>
      </c>
    </row>
    <row r="263" spans="1:7" x14ac:dyDescent="0.25">
      <c r="A263" s="37">
        <v>5</v>
      </c>
      <c r="B263" s="29">
        <v>791</v>
      </c>
      <c r="C263" s="68">
        <f>650+5</f>
        <v>655</v>
      </c>
      <c r="D263" s="29" t="s">
        <v>18</v>
      </c>
      <c r="E263" s="34">
        <f>C263*E2</f>
        <v>3224.4209000000001</v>
      </c>
      <c r="F263" s="61">
        <f t="shared" si="20"/>
        <v>2740.7577649999998</v>
      </c>
    </row>
    <row r="264" spans="1:7" x14ac:dyDescent="0.25">
      <c r="A264" s="37">
        <v>6</v>
      </c>
      <c r="B264" s="29">
        <v>843</v>
      </c>
      <c r="C264" s="68">
        <f>690+5</f>
        <v>695</v>
      </c>
      <c r="D264" s="29" t="s">
        <v>48</v>
      </c>
      <c r="E264" s="34">
        <f>C264*E2</f>
        <v>3421.3321000000001</v>
      </c>
      <c r="F264" s="61">
        <f t="shared" si="20"/>
        <v>2908.1322850000001</v>
      </c>
    </row>
    <row r="265" spans="1:7" x14ac:dyDescent="0.25">
      <c r="A265" s="37">
        <v>7</v>
      </c>
      <c r="B265" s="29">
        <v>896</v>
      </c>
      <c r="C265" s="68">
        <f>730+5</f>
        <v>735</v>
      </c>
      <c r="D265" s="29" t="s">
        <v>48</v>
      </c>
      <c r="E265" s="34">
        <f>C265*E2</f>
        <v>3618.2433000000001</v>
      </c>
      <c r="F265" s="61">
        <f t="shared" si="20"/>
        <v>3075.506805</v>
      </c>
    </row>
    <row r="266" spans="1:7" x14ac:dyDescent="0.25">
      <c r="A266" s="37">
        <v>8</v>
      </c>
      <c r="B266" s="29">
        <v>946</v>
      </c>
      <c r="C266" s="68">
        <f>768+5</f>
        <v>773</v>
      </c>
      <c r="D266" s="29" t="s">
        <v>4</v>
      </c>
      <c r="E266" s="34">
        <f>C266*E2</f>
        <v>3805.3089400000003</v>
      </c>
      <c r="F266" s="61">
        <f t="shared" si="20"/>
        <v>3234.5125990000001</v>
      </c>
    </row>
    <row r="267" spans="1:7" x14ac:dyDescent="0.25">
      <c r="A267" s="37">
        <v>9</v>
      </c>
      <c r="B267" s="29">
        <v>995</v>
      </c>
      <c r="C267" s="68">
        <f>806+5</f>
        <v>811</v>
      </c>
      <c r="D267" s="29" t="s">
        <v>4</v>
      </c>
      <c r="E267" s="34">
        <f>C267*E2</f>
        <v>3992.3745800000002</v>
      </c>
      <c r="F267" s="61">
        <f t="shared" si="20"/>
        <v>3393.5183929999998</v>
      </c>
    </row>
    <row r="268" spans="1:7" x14ac:dyDescent="0.25">
      <c r="A268" s="37">
        <v>10</v>
      </c>
      <c r="B268" s="29">
        <v>1015</v>
      </c>
      <c r="C268" s="68">
        <f>821+5</f>
        <v>826</v>
      </c>
      <c r="D268" s="29" t="s">
        <v>6</v>
      </c>
      <c r="E268" s="34">
        <f>C268*E2</f>
        <v>4066.2162800000001</v>
      </c>
      <c r="F268" s="61">
        <f t="shared" si="20"/>
        <v>3456.2838379999998</v>
      </c>
    </row>
    <row r="272" spans="1:7" ht="25.5" x14ac:dyDescent="0.25">
      <c r="A272" s="37" t="s">
        <v>53</v>
      </c>
      <c r="B272" s="29" t="s">
        <v>0</v>
      </c>
      <c r="C272" s="68" t="s">
        <v>1</v>
      </c>
      <c r="D272" s="29" t="s">
        <v>2</v>
      </c>
      <c r="E272" s="12" t="s">
        <v>7</v>
      </c>
      <c r="F272" s="62" t="s">
        <v>150</v>
      </c>
      <c r="G272" s="40" t="s">
        <v>120</v>
      </c>
    </row>
    <row r="273" spans="1:7" x14ac:dyDescent="0.25">
      <c r="A273" s="37">
        <v>1</v>
      </c>
      <c r="B273" s="29">
        <v>444</v>
      </c>
      <c r="C273" s="68">
        <f>390+5</f>
        <v>395</v>
      </c>
      <c r="D273" s="29" t="s">
        <v>82</v>
      </c>
      <c r="E273" s="34">
        <f>C273*E2</f>
        <v>1944.4981000000002</v>
      </c>
      <c r="F273" s="61">
        <f>E273*85%</f>
        <v>1652.8233850000001</v>
      </c>
    </row>
    <row r="274" spans="1:7" x14ac:dyDescent="0.25">
      <c r="A274" s="37">
        <v>2</v>
      </c>
      <c r="B274" s="29">
        <v>480</v>
      </c>
      <c r="C274" s="68">
        <f>416+5</f>
        <v>421</v>
      </c>
      <c r="D274" s="29" t="s">
        <v>18</v>
      </c>
      <c r="E274" s="34">
        <f>C274*E2</f>
        <v>2072.4903800000002</v>
      </c>
      <c r="F274" s="61">
        <f t="shared" ref="F274:F282" si="21">E274*85%</f>
        <v>1761.6168230000001</v>
      </c>
    </row>
    <row r="275" spans="1:7" x14ac:dyDescent="0.25">
      <c r="A275" s="37">
        <v>3</v>
      </c>
      <c r="B275" s="29">
        <v>517</v>
      </c>
      <c r="C275" s="68">
        <f>444+5</f>
        <v>449</v>
      </c>
      <c r="D275" s="29" t="s">
        <v>48</v>
      </c>
      <c r="E275" s="34">
        <f>C275*E2</f>
        <v>2210.3282200000003</v>
      </c>
      <c r="F275" s="61">
        <f t="shared" si="21"/>
        <v>1878.7789870000001</v>
      </c>
    </row>
    <row r="276" spans="1:7" x14ac:dyDescent="0.25">
      <c r="A276" s="37">
        <v>4</v>
      </c>
      <c r="B276" s="29">
        <v>551</v>
      </c>
      <c r="C276" s="68">
        <f>468+5</f>
        <v>473</v>
      </c>
      <c r="D276" s="29" t="s">
        <v>113</v>
      </c>
      <c r="E276" s="34">
        <f>C276*E2</f>
        <v>2328.4749400000001</v>
      </c>
      <c r="F276" s="61">
        <f t="shared" si="21"/>
        <v>1979.2036989999999</v>
      </c>
    </row>
    <row r="277" spans="1:7" x14ac:dyDescent="0.25">
      <c r="A277" s="37">
        <v>5</v>
      </c>
      <c r="B277" s="29">
        <v>588</v>
      </c>
      <c r="C277" s="68">
        <f>496+5</f>
        <v>501</v>
      </c>
      <c r="D277" s="29" t="s">
        <v>113</v>
      </c>
      <c r="E277" s="34">
        <f>C277*E2</f>
        <v>2466.3127800000002</v>
      </c>
      <c r="F277" s="61">
        <f t="shared" si="21"/>
        <v>2096.365863</v>
      </c>
    </row>
    <row r="278" spans="1:7" x14ac:dyDescent="0.25">
      <c r="A278" s="37">
        <v>6</v>
      </c>
      <c r="B278" s="29">
        <v>620</v>
      </c>
      <c r="C278" s="68">
        <f>520+5</f>
        <v>525</v>
      </c>
      <c r="D278" s="29" t="s">
        <v>113</v>
      </c>
      <c r="E278" s="34">
        <f>C278*E2</f>
        <v>2584.4595000000004</v>
      </c>
      <c r="F278" s="61">
        <f t="shared" si="21"/>
        <v>2196.7905750000004</v>
      </c>
    </row>
    <row r="279" spans="1:7" x14ac:dyDescent="0.25">
      <c r="A279" s="37">
        <v>7</v>
      </c>
      <c r="B279" s="29">
        <v>656</v>
      </c>
      <c r="C279" s="68">
        <f>547+5</f>
        <v>552</v>
      </c>
      <c r="D279" s="29" t="s">
        <v>113</v>
      </c>
      <c r="E279" s="34">
        <f>C279*E2</f>
        <v>2717.3745600000002</v>
      </c>
      <c r="F279" s="61">
        <f t="shared" si="21"/>
        <v>2309.768376</v>
      </c>
    </row>
    <row r="280" spans="1:7" x14ac:dyDescent="0.25">
      <c r="A280" s="37">
        <v>8</v>
      </c>
      <c r="B280" s="29">
        <v>692</v>
      </c>
      <c r="C280" s="68">
        <f>575+5</f>
        <v>580</v>
      </c>
      <c r="D280" s="29" t="s">
        <v>113</v>
      </c>
      <c r="E280" s="34">
        <f>C280*E2</f>
        <v>2855.2124000000003</v>
      </c>
      <c r="F280" s="61">
        <f t="shared" si="21"/>
        <v>2426.9305400000003</v>
      </c>
    </row>
    <row r="281" spans="1:7" x14ac:dyDescent="0.25">
      <c r="A281" s="37">
        <v>9</v>
      </c>
      <c r="B281" s="29">
        <v>732</v>
      </c>
      <c r="C281" s="68">
        <f>605+5</f>
        <v>610</v>
      </c>
      <c r="D281" s="29" t="s">
        <v>5</v>
      </c>
      <c r="E281" s="34">
        <f>C281*E2</f>
        <v>3002.8958000000002</v>
      </c>
      <c r="F281" s="61">
        <f t="shared" si="21"/>
        <v>2552.4614300000003</v>
      </c>
    </row>
    <row r="282" spans="1:7" x14ac:dyDescent="0.25">
      <c r="A282" s="37">
        <v>10</v>
      </c>
      <c r="B282" s="29">
        <v>767</v>
      </c>
      <c r="C282" s="68">
        <f>632+5</f>
        <v>637</v>
      </c>
      <c r="D282" s="29" t="s">
        <v>6</v>
      </c>
      <c r="E282" s="34">
        <f>C282*E2</f>
        <v>3135.81086</v>
      </c>
      <c r="F282" s="61">
        <f t="shared" si="21"/>
        <v>2665.4392309999998</v>
      </c>
    </row>
    <row r="285" spans="1:7" ht="14.25" customHeight="1" x14ac:dyDescent="0.25"/>
    <row r="286" spans="1:7" ht="25.5" x14ac:dyDescent="0.25">
      <c r="A286" s="37" t="s">
        <v>53</v>
      </c>
      <c r="B286" s="29" t="s">
        <v>0</v>
      </c>
      <c r="C286" s="68" t="s">
        <v>1</v>
      </c>
      <c r="D286" s="29" t="s">
        <v>2</v>
      </c>
      <c r="E286" s="12" t="s">
        <v>7</v>
      </c>
      <c r="F286" s="62" t="s">
        <v>150</v>
      </c>
      <c r="G286" s="40" t="s">
        <v>121</v>
      </c>
    </row>
    <row r="287" spans="1:7" x14ac:dyDescent="0.25">
      <c r="A287" s="37">
        <v>1</v>
      </c>
      <c r="B287" s="29">
        <v>607</v>
      </c>
      <c r="C287" s="68">
        <f>510+5</f>
        <v>515</v>
      </c>
      <c r="D287" s="29" t="s">
        <v>18</v>
      </c>
      <c r="E287" s="34">
        <f>C287*E2</f>
        <v>2535.2317000000003</v>
      </c>
      <c r="F287" s="61">
        <f>E287*85%</f>
        <v>2154.9469450000001</v>
      </c>
    </row>
    <row r="288" spans="1:7" x14ac:dyDescent="0.25">
      <c r="A288" s="37">
        <v>2</v>
      </c>
      <c r="B288" s="29">
        <v>632</v>
      </c>
      <c r="C288" s="68">
        <f>530+5</f>
        <v>535</v>
      </c>
      <c r="D288" s="29" t="s">
        <v>48</v>
      </c>
      <c r="E288" s="34">
        <f>C288*E2</f>
        <v>2633.6873000000001</v>
      </c>
      <c r="F288" s="61">
        <f t="shared" ref="F288:F294" si="22">E288*85%</f>
        <v>2238.6342049999998</v>
      </c>
    </row>
    <row r="289" spans="1:7" x14ac:dyDescent="0.25">
      <c r="A289" s="37">
        <v>3</v>
      </c>
      <c r="B289" s="29">
        <v>665</v>
      </c>
      <c r="C289" s="68">
        <f>555+5</f>
        <v>560</v>
      </c>
      <c r="D289" s="29" t="s">
        <v>48</v>
      </c>
      <c r="E289" s="34">
        <f>C289*E2</f>
        <v>2756.7568000000001</v>
      </c>
      <c r="F289" s="61">
        <f t="shared" si="22"/>
        <v>2343.2432800000001</v>
      </c>
    </row>
    <row r="290" spans="1:7" x14ac:dyDescent="0.25">
      <c r="A290" s="37">
        <v>4</v>
      </c>
      <c r="B290" s="29">
        <v>700</v>
      </c>
      <c r="C290" s="68">
        <f>581+5</f>
        <v>586</v>
      </c>
      <c r="D290" s="29" t="s">
        <v>48</v>
      </c>
      <c r="E290" s="34">
        <f>C290*E2</f>
        <v>2884.74908</v>
      </c>
      <c r="F290" s="61">
        <f t="shared" si="22"/>
        <v>2452.0367179999998</v>
      </c>
    </row>
    <row r="291" spans="1:7" x14ac:dyDescent="0.25">
      <c r="A291" s="37">
        <v>5</v>
      </c>
      <c r="B291" s="29">
        <v>737</v>
      </c>
      <c r="C291" s="68">
        <f>609+5</f>
        <v>614</v>
      </c>
      <c r="D291" s="29" t="s">
        <v>4</v>
      </c>
      <c r="E291" s="34">
        <f>C291*E2</f>
        <v>3022.5869200000002</v>
      </c>
      <c r="F291" s="61">
        <f t="shared" si="22"/>
        <v>2569.1988820000001</v>
      </c>
    </row>
    <row r="292" spans="1:7" x14ac:dyDescent="0.25">
      <c r="A292" s="37">
        <v>6</v>
      </c>
      <c r="B292" s="29">
        <v>773</v>
      </c>
      <c r="C292" s="68">
        <f>636+5</f>
        <v>641</v>
      </c>
      <c r="D292" s="29" t="s">
        <v>4</v>
      </c>
      <c r="E292" s="34">
        <f>C292*E2</f>
        <v>3155.5019800000005</v>
      </c>
      <c r="F292" s="61">
        <f t="shared" si="22"/>
        <v>2682.1766830000001</v>
      </c>
    </row>
    <row r="293" spans="1:7" x14ac:dyDescent="0.25">
      <c r="A293" s="37">
        <v>7</v>
      </c>
      <c r="B293" s="29">
        <v>805</v>
      </c>
      <c r="C293" s="68">
        <f>661+5</f>
        <v>666</v>
      </c>
      <c r="D293" s="29" t="s">
        <v>5</v>
      </c>
      <c r="E293" s="34">
        <f>C293*E2</f>
        <v>3278.5714800000001</v>
      </c>
      <c r="F293" s="61">
        <f t="shared" si="22"/>
        <v>2786.785758</v>
      </c>
    </row>
    <row r="294" spans="1:7" x14ac:dyDescent="0.25">
      <c r="A294" s="37">
        <v>8</v>
      </c>
      <c r="B294" s="29">
        <v>821</v>
      </c>
      <c r="C294" s="68">
        <f>673+5</f>
        <v>678</v>
      </c>
      <c r="D294" s="29" t="s">
        <v>6</v>
      </c>
      <c r="E294" s="34">
        <f>C294*E2</f>
        <v>3337.6448400000004</v>
      </c>
      <c r="F294" s="61">
        <f t="shared" si="22"/>
        <v>2836.9981140000004</v>
      </c>
    </row>
    <row r="298" spans="1:7" ht="25.5" x14ac:dyDescent="0.25">
      <c r="A298" s="37" t="s">
        <v>53</v>
      </c>
      <c r="B298" s="29" t="s">
        <v>0</v>
      </c>
      <c r="C298" s="68" t="s">
        <v>1</v>
      </c>
      <c r="D298" s="29" t="s">
        <v>2</v>
      </c>
      <c r="E298" s="12" t="s">
        <v>7</v>
      </c>
      <c r="F298" s="62" t="s">
        <v>150</v>
      </c>
      <c r="G298" s="40" t="s">
        <v>122</v>
      </c>
    </row>
    <row r="299" spans="1:7" x14ac:dyDescent="0.25">
      <c r="A299" s="37">
        <v>1</v>
      </c>
      <c r="B299" s="29">
        <v>444</v>
      </c>
      <c r="C299" s="68">
        <f>390+5</f>
        <v>395</v>
      </c>
      <c r="D299" s="29" t="s">
        <v>18</v>
      </c>
      <c r="E299" s="34">
        <f>C299*E2</f>
        <v>1944.4981000000002</v>
      </c>
      <c r="F299" s="61">
        <f>E299*85%</f>
        <v>1652.8233850000001</v>
      </c>
      <c r="G299" s="40" t="s">
        <v>123</v>
      </c>
    </row>
    <row r="300" spans="1:7" x14ac:dyDescent="0.25">
      <c r="A300" s="37">
        <v>2</v>
      </c>
      <c r="B300" s="29">
        <v>461</v>
      </c>
      <c r="C300" s="68">
        <f>404+5</f>
        <v>409</v>
      </c>
      <c r="D300" s="29" t="s">
        <v>18</v>
      </c>
      <c r="E300" s="34">
        <f>C300*E2</f>
        <v>2013.4170200000001</v>
      </c>
      <c r="F300" s="61">
        <f t="shared" ref="F300:F312" si="23">E300*85%</f>
        <v>1711.4044670000001</v>
      </c>
    </row>
    <row r="301" spans="1:7" x14ac:dyDescent="0.25">
      <c r="A301" s="37">
        <v>3</v>
      </c>
      <c r="B301" s="29">
        <v>478</v>
      </c>
      <c r="C301" s="68">
        <f>415+5</f>
        <v>420</v>
      </c>
      <c r="D301" s="29" t="s">
        <v>18</v>
      </c>
      <c r="E301" s="34">
        <f>C301*E2</f>
        <v>2067.5676000000003</v>
      </c>
      <c r="F301" s="61">
        <f t="shared" si="23"/>
        <v>1757.4324600000002</v>
      </c>
    </row>
    <row r="302" spans="1:7" x14ac:dyDescent="0.25">
      <c r="A302" s="37">
        <v>4</v>
      </c>
      <c r="B302" s="29">
        <v>494</v>
      </c>
      <c r="C302" s="68">
        <f>426+5</f>
        <v>431</v>
      </c>
      <c r="D302" s="29" t="s">
        <v>18</v>
      </c>
      <c r="E302" s="34">
        <f>C302*E2</f>
        <v>2121.7181800000003</v>
      </c>
      <c r="F302" s="61">
        <f t="shared" si="23"/>
        <v>1803.4604530000001</v>
      </c>
    </row>
    <row r="303" spans="1:7" x14ac:dyDescent="0.25">
      <c r="A303" s="37">
        <v>5</v>
      </c>
      <c r="B303" s="29">
        <v>512</v>
      </c>
      <c r="C303" s="68">
        <f>440+5</f>
        <v>445</v>
      </c>
      <c r="D303" s="29" t="s">
        <v>18</v>
      </c>
      <c r="E303" s="34">
        <f>C303*E2</f>
        <v>2190.6371000000004</v>
      </c>
      <c r="F303" s="61">
        <f t="shared" si="23"/>
        <v>1862.0415350000003</v>
      </c>
    </row>
    <row r="304" spans="1:7" x14ac:dyDescent="0.25">
      <c r="A304" s="37">
        <v>6</v>
      </c>
      <c r="B304" s="29">
        <v>528</v>
      </c>
      <c r="C304" s="68">
        <f>452+5</f>
        <v>457</v>
      </c>
      <c r="D304" s="29" t="s">
        <v>18</v>
      </c>
      <c r="E304" s="34">
        <f>C304*E2</f>
        <v>2249.7104600000002</v>
      </c>
      <c r="F304" s="61">
        <f t="shared" si="23"/>
        <v>1912.2538910000001</v>
      </c>
    </row>
    <row r="305" spans="1:7" x14ac:dyDescent="0.25">
      <c r="A305" s="37">
        <v>7</v>
      </c>
      <c r="B305" s="29">
        <v>547</v>
      </c>
      <c r="C305" s="68">
        <f>465+5</f>
        <v>470</v>
      </c>
      <c r="D305" s="29" t="s">
        <v>18</v>
      </c>
      <c r="E305" s="34">
        <f>C305*E2</f>
        <v>2313.7066</v>
      </c>
      <c r="F305" s="61">
        <f t="shared" si="23"/>
        <v>1966.6506099999999</v>
      </c>
    </row>
    <row r="306" spans="1:7" x14ac:dyDescent="0.25">
      <c r="A306" s="37">
        <v>8</v>
      </c>
      <c r="B306" s="29">
        <v>570</v>
      </c>
      <c r="C306" s="68">
        <f>482+5</f>
        <v>487</v>
      </c>
      <c r="D306" s="29" t="s">
        <v>18</v>
      </c>
      <c r="E306" s="34">
        <f>C306*E2</f>
        <v>2397.3938600000001</v>
      </c>
      <c r="F306" s="61">
        <f t="shared" si="23"/>
        <v>2037.7847810000001</v>
      </c>
    </row>
    <row r="307" spans="1:7" x14ac:dyDescent="0.25">
      <c r="A307" s="37">
        <v>9</v>
      </c>
      <c r="B307" s="29">
        <v>596</v>
      </c>
      <c r="C307" s="68">
        <f>502+5</f>
        <v>507</v>
      </c>
      <c r="D307" s="29" t="s">
        <v>18</v>
      </c>
      <c r="E307" s="34">
        <f>C307*E2</f>
        <v>2495.8494600000004</v>
      </c>
      <c r="F307" s="61">
        <f t="shared" si="23"/>
        <v>2121.4720410000004</v>
      </c>
    </row>
    <row r="308" spans="1:7" x14ac:dyDescent="0.25">
      <c r="A308" s="37">
        <v>10</v>
      </c>
      <c r="B308" s="29">
        <v>623</v>
      </c>
      <c r="C308" s="68">
        <f>523+5</f>
        <v>528</v>
      </c>
      <c r="D308" s="29" t="s">
        <v>48</v>
      </c>
      <c r="E308" s="34">
        <f>C308*E2</f>
        <v>2599.22784</v>
      </c>
      <c r="F308" s="61">
        <f t="shared" si="23"/>
        <v>2209.343664</v>
      </c>
    </row>
    <row r="309" spans="1:7" x14ac:dyDescent="0.25">
      <c r="A309" s="37">
        <v>11</v>
      </c>
      <c r="B309" s="29">
        <v>655</v>
      </c>
      <c r="C309" s="68">
        <f>546+5</f>
        <v>551</v>
      </c>
      <c r="D309" s="29" t="s">
        <v>48</v>
      </c>
      <c r="E309" s="34">
        <f>C309*E2</f>
        <v>2712.4517800000003</v>
      </c>
      <c r="F309" s="61">
        <f t="shared" si="23"/>
        <v>2305.5840130000001</v>
      </c>
    </row>
    <row r="310" spans="1:7" x14ac:dyDescent="0.25">
      <c r="A310" s="37">
        <v>12</v>
      </c>
      <c r="B310" s="29">
        <v>680</v>
      </c>
      <c r="C310" s="68">
        <f>566+5</f>
        <v>571</v>
      </c>
      <c r="D310" s="29" t="s">
        <v>4</v>
      </c>
      <c r="E310" s="34">
        <f>C310*E2</f>
        <v>2810.9073800000001</v>
      </c>
      <c r="F310" s="61">
        <f t="shared" si="23"/>
        <v>2389.2712729999998</v>
      </c>
    </row>
    <row r="311" spans="1:7" x14ac:dyDescent="0.25">
      <c r="A311" s="37">
        <v>13</v>
      </c>
      <c r="B311" s="29">
        <v>694</v>
      </c>
      <c r="C311" s="68">
        <f>576+5</f>
        <v>581</v>
      </c>
      <c r="D311" s="29" t="s">
        <v>4</v>
      </c>
      <c r="E311" s="34">
        <f>C311*E2</f>
        <v>2860.1351800000002</v>
      </c>
      <c r="F311" s="61">
        <f t="shared" si="23"/>
        <v>2431.1149030000001</v>
      </c>
    </row>
    <row r="312" spans="1:7" x14ac:dyDescent="0.25">
      <c r="A312" s="37">
        <v>14</v>
      </c>
      <c r="B312" s="29">
        <v>714</v>
      </c>
      <c r="C312" s="68">
        <f>592+5</f>
        <v>597</v>
      </c>
      <c r="D312" s="29" t="s">
        <v>6</v>
      </c>
      <c r="E312" s="34">
        <f>C312*E2</f>
        <v>2938.89966</v>
      </c>
      <c r="F312" s="61">
        <f t="shared" si="23"/>
        <v>2498.064711</v>
      </c>
    </row>
    <row r="316" spans="1:7" ht="25.5" x14ac:dyDescent="0.25">
      <c r="A316" s="37" t="s">
        <v>53</v>
      </c>
      <c r="B316" s="29" t="s">
        <v>0</v>
      </c>
      <c r="C316" s="68" t="s">
        <v>1</v>
      </c>
      <c r="D316" s="29" t="s">
        <v>2</v>
      </c>
      <c r="E316" s="12" t="s">
        <v>7</v>
      </c>
      <c r="F316" s="62" t="s">
        <v>150</v>
      </c>
      <c r="G316" s="40" t="s">
        <v>124</v>
      </c>
    </row>
    <row r="317" spans="1:7" x14ac:dyDescent="0.25">
      <c r="A317" s="37">
        <v>1</v>
      </c>
      <c r="B317" s="29">
        <v>502</v>
      </c>
      <c r="C317" s="68">
        <f>433+5</f>
        <v>438</v>
      </c>
      <c r="D317" s="29" t="s">
        <v>3</v>
      </c>
      <c r="E317" s="34">
        <f>C317*E2</f>
        <v>2156.1776400000003</v>
      </c>
      <c r="F317" s="61">
        <f>E317*85%</f>
        <v>1832.7509940000002</v>
      </c>
      <c r="G317" s="40" t="s">
        <v>125</v>
      </c>
    </row>
    <row r="318" spans="1:7" x14ac:dyDescent="0.25">
      <c r="A318" s="37">
        <v>2</v>
      </c>
      <c r="B318" s="29">
        <v>523</v>
      </c>
      <c r="C318" s="68">
        <f>448+5</f>
        <v>453</v>
      </c>
      <c r="D318" s="29" t="s">
        <v>18</v>
      </c>
      <c r="E318" s="34">
        <f>C318*E2</f>
        <v>2230.0193400000003</v>
      </c>
      <c r="F318" s="61">
        <f t="shared" ref="F318:F327" si="24">E318*85%</f>
        <v>1895.5164390000002</v>
      </c>
    </row>
    <row r="319" spans="1:7" x14ac:dyDescent="0.25">
      <c r="A319" s="37">
        <v>3</v>
      </c>
      <c r="B319" s="29">
        <v>543</v>
      </c>
      <c r="C319" s="68">
        <f>462+5</f>
        <v>467</v>
      </c>
      <c r="D319" s="29" t="s">
        <v>18</v>
      </c>
      <c r="E319" s="34">
        <f>C319*E2</f>
        <v>2298.9382600000004</v>
      </c>
      <c r="F319" s="61">
        <f t="shared" si="24"/>
        <v>1954.0975210000001</v>
      </c>
    </row>
    <row r="320" spans="1:7" x14ac:dyDescent="0.25">
      <c r="A320" s="37">
        <v>4</v>
      </c>
      <c r="B320" s="29">
        <v>565</v>
      </c>
      <c r="C320" s="68">
        <f>478+5</f>
        <v>483</v>
      </c>
      <c r="D320" s="29" t="s">
        <v>18</v>
      </c>
      <c r="E320" s="34">
        <f>C320*E2</f>
        <v>2377.7027400000002</v>
      </c>
      <c r="F320" s="61">
        <f t="shared" si="24"/>
        <v>2021.047329</v>
      </c>
    </row>
    <row r="321" spans="1:7" x14ac:dyDescent="0.25">
      <c r="A321" s="37">
        <v>5</v>
      </c>
      <c r="B321" s="29">
        <v>589</v>
      </c>
      <c r="C321" s="68">
        <f>497+5</f>
        <v>502</v>
      </c>
      <c r="D321" s="29" t="s">
        <v>18</v>
      </c>
      <c r="E321" s="34">
        <f>C321*E2</f>
        <v>2471.2355600000001</v>
      </c>
      <c r="F321" s="61">
        <f t="shared" si="24"/>
        <v>2100.5502259999998</v>
      </c>
    </row>
    <row r="322" spans="1:7" x14ac:dyDescent="0.25">
      <c r="A322" s="37">
        <v>6</v>
      </c>
      <c r="B322" s="29">
        <v>622</v>
      </c>
      <c r="C322" s="68">
        <f>522+5</f>
        <v>527</v>
      </c>
      <c r="D322" s="29" t="s">
        <v>18</v>
      </c>
      <c r="E322" s="34">
        <f>C322*E2</f>
        <v>2594.3050600000001</v>
      </c>
      <c r="F322" s="61">
        <f t="shared" si="24"/>
        <v>2205.1593010000001</v>
      </c>
    </row>
    <row r="323" spans="1:7" x14ac:dyDescent="0.25">
      <c r="A323" s="37">
        <v>7</v>
      </c>
      <c r="B323" s="29">
        <v>653</v>
      </c>
      <c r="C323" s="68">
        <f>545+5</f>
        <v>550</v>
      </c>
      <c r="D323" s="29" t="s">
        <v>48</v>
      </c>
      <c r="E323" s="34">
        <f>C323*E2</f>
        <v>2707.529</v>
      </c>
      <c r="F323" s="61">
        <f t="shared" si="24"/>
        <v>2301.3996499999998</v>
      </c>
    </row>
    <row r="324" spans="1:7" x14ac:dyDescent="0.25">
      <c r="A324" s="37">
        <v>8</v>
      </c>
      <c r="B324" s="29">
        <v>680</v>
      </c>
      <c r="C324" s="68">
        <f>566+5</f>
        <v>571</v>
      </c>
      <c r="D324" s="29" t="s">
        <v>4</v>
      </c>
      <c r="E324" s="34">
        <f>C324*E2</f>
        <v>2810.9073800000001</v>
      </c>
      <c r="F324" s="61">
        <f t="shared" si="24"/>
        <v>2389.2712729999998</v>
      </c>
    </row>
    <row r="325" spans="1:7" x14ac:dyDescent="0.25">
      <c r="A325" s="37">
        <v>9</v>
      </c>
      <c r="B325" s="29">
        <v>705</v>
      </c>
      <c r="C325" s="68">
        <f>585+5</f>
        <v>590</v>
      </c>
      <c r="D325" s="29" t="s">
        <v>4</v>
      </c>
      <c r="E325" s="34">
        <f>C325*E2</f>
        <v>2904.4402</v>
      </c>
      <c r="F325" s="61">
        <f t="shared" si="24"/>
        <v>2468.7741700000001</v>
      </c>
    </row>
    <row r="326" spans="1:7" x14ac:dyDescent="0.25">
      <c r="A326" s="37">
        <v>10</v>
      </c>
      <c r="B326" s="29">
        <v>732</v>
      </c>
      <c r="C326" s="68">
        <f>605+5</f>
        <v>610</v>
      </c>
      <c r="D326" s="29" t="s">
        <v>4</v>
      </c>
      <c r="E326" s="34">
        <f>C326*E2</f>
        <v>3002.8958000000002</v>
      </c>
      <c r="F326" s="61">
        <f t="shared" si="24"/>
        <v>2552.4614300000003</v>
      </c>
    </row>
    <row r="327" spans="1:7" x14ac:dyDescent="0.25">
      <c r="A327" s="37">
        <v>11</v>
      </c>
      <c r="B327" s="29">
        <v>761</v>
      </c>
      <c r="C327" s="68">
        <f>627+5</f>
        <v>632</v>
      </c>
      <c r="D327" s="29" t="s">
        <v>6</v>
      </c>
      <c r="E327" s="34">
        <f>C327*E2</f>
        <v>3111.1969600000002</v>
      </c>
      <c r="F327" s="61">
        <f t="shared" si="24"/>
        <v>2644.5174160000001</v>
      </c>
    </row>
    <row r="331" spans="1:7" ht="25.5" x14ac:dyDescent="0.25">
      <c r="A331" s="37" t="s">
        <v>53</v>
      </c>
      <c r="B331" s="29" t="s">
        <v>0</v>
      </c>
      <c r="C331" s="68" t="s">
        <v>1</v>
      </c>
      <c r="D331" s="29" t="s">
        <v>2</v>
      </c>
      <c r="E331" s="12" t="s">
        <v>7</v>
      </c>
      <c r="F331" s="62" t="s">
        <v>150</v>
      </c>
      <c r="G331" s="40" t="s">
        <v>126</v>
      </c>
    </row>
    <row r="332" spans="1:7" x14ac:dyDescent="0.25">
      <c r="A332" s="37">
        <v>1</v>
      </c>
      <c r="B332" s="29">
        <v>509</v>
      </c>
      <c r="C332" s="68">
        <f>438+5</f>
        <v>443</v>
      </c>
      <c r="D332" s="29" t="s">
        <v>82</v>
      </c>
      <c r="E332" s="34">
        <f>C332*E2</f>
        <v>2180.7915400000002</v>
      </c>
      <c r="F332" s="61">
        <f>E332*85%</f>
        <v>1853.6728090000001</v>
      </c>
    </row>
    <row r="333" spans="1:7" x14ac:dyDescent="0.25">
      <c r="A333" s="37">
        <v>2</v>
      </c>
      <c r="B333" s="29">
        <v>532</v>
      </c>
      <c r="C333" s="68">
        <f>455+5</f>
        <v>460</v>
      </c>
      <c r="D333" s="29" t="s">
        <v>82</v>
      </c>
      <c r="E333" s="34">
        <f>C333*E2</f>
        <v>2264.4788000000003</v>
      </c>
      <c r="F333" s="61">
        <f t="shared" ref="F333:F343" si="25">E333*85%</f>
        <v>1924.8069800000003</v>
      </c>
    </row>
    <row r="334" spans="1:7" x14ac:dyDescent="0.25">
      <c r="A334" s="37">
        <v>3</v>
      </c>
      <c r="B334" s="29">
        <v>555</v>
      </c>
      <c r="C334" s="68">
        <f>471+5</f>
        <v>476</v>
      </c>
      <c r="D334" s="29" t="s">
        <v>18</v>
      </c>
      <c r="E334" s="34">
        <f>C334*E2</f>
        <v>2343.2432800000001</v>
      </c>
      <c r="F334" s="61">
        <f t="shared" si="25"/>
        <v>1991.7567880000001</v>
      </c>
    </row>
    <row r="335" spans="1:7" x14ac:dyDescent="0.25">
      <c r="A335" s="37">
        <v>4</v>
      </c>
      <c r="B335" s="29">
        <v>578</v>
      </c>
      <c r="C335" s="68">
        <f>488+5</f>
        <v>493</v>
      </c>
      <c r="D335" s="29" t="s">
        <v>18</v>
      </c>
      <c r="E335" s="34">
        <f>C335*E2</f>
        <v>2426.9305400000003</v>
      </c>
      <c r="F335" s="61">
        <f t="shared" si="25"/>
        <v>2062.8909590000003</v>
      </c>
    </row>
    <row r="336" spans="1:7" x14ac:dyDescent="0.25">
      <c r="A336" s="37">
        <v>5</v>
      </c>
      <c r="B336" s="29">
        <v>600</v>
      </c>
      <c r="C336" s="68">
        <f>505+5</f>
        <v>510</v>
      </c>
      <c r="D336" s="29" t="s">
        <v>18</v>
      </c>
      <c r="E336" s="34">
        <f>C336*E2</f>
        <v>2510.6178</v>
      </c>
      <c r="F336" s="61">
        <f t="shared" si="25"/>
        <v>2134.02513</v>
      </c>
    </row>
    <row r="337" spans="1:7" x14ac:dyDescent="0.25">
      <c r="A337" s="37">
        <v>6</v>
      </c>
      <c r="B337" s="29">
        <v>631</v>
      </c>
      <c r="C337" s="68">
        <f>529+5</f>
        <v>534</v>
      </c>
      <c r="D337" s="29" t="s">
        <v>18</v>
      </c>
      <c r="E337" s="34">
        <f>C337*E2</f>
        <v>2628.7645200000002</v>
      </c>
      <c r="F337" s="61">
        <f t="shared" si="25"/>
        <v>2234.449842</v>
      </c>
    </row>
    <row r="338" spans="1:7" x14ac:dyDescent="0.25">
      <c r="A338" s="37">
        <v>7</v>
      </c>
      <c r="B338" s="29">
        <v>657</v>
      </c>
      <c r="C338" s="68">
        <f>548+5</f>
        <v>553</v>
      </c>
      <c r="D338" s="29" t="s">
        <v>18</v>
      </c>
      <c r="E338" s="34">
        <f>C338*E2</f>
        <v>2722.2973400000001</v>
      </c>
      <c r="F338" s="61">
        <f t="shared" si="25"/>
        <v>2313.9527389999998</v>
      </c>
    </row>
    <row r="339" spans="1:7" x14ac:dyDescent="0.25">
      <c r="A339" s="37">
        <v>8</v>
      </c>
      <c r="B339" s="29">
        <v>680</v>
      </c>
      <c r="C339" s="68">
        <f>566+5</f>
        <v>571</v>
      </c>
      <c r="D339" s="29" t="s">
        <v>18</v>
      </c>
      <c r="E339" s="34">
        <f>C339*E2</f>
        <v>2810.9073800000001</v>
      </c>
      <c r="F339" s="61">
        <f t="shared" si="25"/>
        <v>2389.2712729999998</v>
      </c>
    </row>
    <row r="340" spans="1:7" x14ac:dyDescent="0.25">
      <c r="A340" s="37">
        <v>9</v>
      </c>
      <c r="B340" s="29">
        <v>712</v>
      </c>
      <c r="C340" s="68">
        <f>590+5</f>
        <v>595</v>
      </c>
      <c r="D340" s="29" t="s">
        <v>48</v>
      </c>
      <c r="E340" s="34">
        <f>C340*E2</f>
        <v>2929.0541000000003</v>
      </c>
      <c r="F340" s="61">
        <f t="shared" si="25"/>
        <v>2489.6959850000003</v>
      </c>
    </row>
    <row r="341" spans="1:7" x14ac:dyDescent="0.25">
      <c r="A341" s="37">
        <v>10</v>
      </c>
      <c r="B341" s="29">
        <v>740</v>
      </c>
      <c r="C341" s="68">
        <f>611+5</f>
        <v>616</v>
      </c>
      <c r="D341" s="29" t="s">
        <v>48</v>
      </c>
      <c r="E341" s="34">
        <f>C341*E2</f>
        <v>3032.4324800000004</v>
      </c>
      <c r="F341" s="61">
        <f t="shared" si="25"/>
        <v>2577.5676080000003</v>
      </c>
    </row>
    <row r="342" spans="1:7" x14ac:dyDescent="0.25">
      <c r="A342" s="37">
        <v>11</v>
      </c>
      <c r="B342" s="29">
        <v>778</v>
      </c>
      <c r="C342" s="68">
        <f>640+5</f>
        <v>645</v>
      </c>
      <c r="D342" s="29" t="s">
        <v>4</v>
      </c>
      <c r="E342" s="34">
        <f>C342*E2</f>
        <v>3175.1931000000004</v>
      </c>
      <c r="F342" s="61">
        <f t="shared" si="25"/>
        <v>2698.9141350000004</v>
      </c>
    </row>
    <row r="343" spans="1:7" x14ac:dyDescent="0.25">
      <c r="A343" s="37">
        <v>12</v>
      </c>
      <c r="B343" s="29">
        <v>801</v>
      </c>
      <c r="C343" s="68">
        <f>658+5</f>
        <v>663</v>
      </c>
      <c r="D343" s="29" t="s">
        <v>6</v>
      </c>
      <c r="E343" s="34">
        <f>C343*E2</f>
        <v>3263.8031400000004</v>
      </c>
      <c r="F343" s="61">
        <f t="shared" si="25"/>
        <v>2774.2326690000004</v>
      </c>
    </row>
    <row r="347" spans="1:7" ht="25.5" x14ac:dyDescent="0.25">
      <c r="A347" s="37" t="s">
        <v>53</v>
      </c>
      <c r="B347" s="29" t="s">
        <v>0</v>
      </c>
      <c r="C347" s="68" t="s">
        <v>1</v>
      </c>
      <c r="D347" s="29" t="s">
        <v>2</v>
      </c>
      <c r="E347" s="12" t="s">
        <v>7</v>
      </c>
      <c r="F347" s="62" t="s">
        <v>150</v>
      </c>
      <c r="G347" s="40" t="s">
        <v>127</v>
      </c>
    </row>
    <row r="348" spans="1:7" x14ac:dyDescent="0.25">
      <c r="A348" s="37">
        <v>1</v>
      </c>
      <c r="B348" s="29">
        <v>641</v>
      </c>
      <c r="C348" s="68">
        <f>536+5</f>
        <v>541</v>
      </c>
      <c r="D348" s="29" t="s">
        <v>18</v>
      </c>
      <c r="E348" s="34">
        <f>C348*E2</f>
        <v>2663.2239800000002</v>
      </c>
      <c r="F348" s="61">
        <f>E348*85%</f>
        <v>2263.7403830000003</v>
      </c>
    </row>
    <row r="349" spans="1:7" x14ac:dyDescent="0.25">
      <c r="A349" s="37">
        <v>2</v>
      </c>
      <c r="B349" s="29">
        <v>674</v>
      </c>
      <c r="C349" s="68">
        <f>561+5</f>
        <v>566</v>
      </c>
      <c r="D349" s="29" t="s">
        <v>18</v>
      </c>
      <c r="E349" s="34">
        <f>C349*E2</f>
        <v>2786.2934800000003</v>
      </c>
      <c r="F349" s="61">
        <f t="shared" ref="F349:F355" si="26">E349*85%</f>
        <v>2368.3494580000001</v>
      </c>
    </row>
    <row r="350" spans="1:7" x14ac:dyDescent="0.25">
      <c r="A350" s="37">
        <v>3</v>
      </c>
      <c r="B350" s="29">
        <v>698</v>
      </c>
      <c r="C350" s="68">
        <f>579+5</f>
        <v>584</v>
      </c>
      <c r="D350" s="29" t="s">
        <v>48</v>
      </c>
      <c r="E350" s="34">
        <f>C350*E2</f>
        <v>2874.9035200000003</v>
      </c>
      <c r="F350" s="61">
        <f t="shared" si="26"/>
        <v>2443.6679920000001</v>
      </c>
    </row>
    <row r="351" spans="1:7" x14ac:dyDescent="0.25">
      <c r="A351" s="37">
        <v>4</v>
      </c>
      <c r="B351" s="29">
        <v>729</v>
      </c>
      <c r="C351" s="68">
        <f>603+5</f>
        <v>608</v>
      </c>
      <c r="D351" s="29" t="s">
        <v>48</v>
      </c>
      <c r="E351" s="34">
        <f>C351*E2</f>
        <v>2993.05024</v>
      </c>
      <c r="F351" s="61">
        <f t="shared" si="26"/>
        <v>2544.0927040000001</v>
      </c>
    </row>
    <row r="352" spans="1:7" x14ac:dyDescent="0.25">
      <c r="A352" s="37">
        <v>5</v>
      </c>
      <c r="B352" s="29">
        <v>751</v>
      </c>
      <c r="C352" s="68">
        <f>620+5</f>
        <v>625</v>
      </c>
      <c r="D352" s="29" t="s">
        <v>4</v>
      </c>
      <c r="E352" s="34">
        <f>C352*E2</f>
        <v>3076.7375000000002</v>
      </c>
      <c r="F352" s="61">
        <f t="shared" si="26"/>
        <v>2615.2268750000003</v>
      </c>
    </row>
    <row r="353" spans="1:7" x14ac:dyDescent="0.25">
      <c r="A353" s="37">
        <v>6</v>
      </c>
      <c r="B353" s="29">
        <v>784</v>
      </c>
      <c r="C353" s="68">
        <f>645+5</f>
        <v>650</v>
      </c>
      <c r="D353" s="29" t="s">
        <v>4</v>
      </c>
      <c r="E353" s="34">
        <f>C353*E2</f>
        <v>3199.8070000000002</v>
      </c>
      <c r="F353" s="61">
        <f t="shared" si="26"/>
        <v>2719.8359500000001</v>
      </c>
    </row>
    <row r="354" spans="1:7" x14ac:dyDescent="0.25">
      <c r="A354" s="37">
        <v>7</v>
      </c>
      <c r="B354" s="29">
        <v>816</v>
      </c>
      <c r="C354" s="68">
        <f>669+5</f>
        <v>674</v>
      </c>
      <c r="D354" s="29" t="s">
        <v>4</v>
      </c>
      <c r="E354" s="34">
        <f>C354*E2</f>
        <v>3317.9537200000004</v>
      </c>
      <c r="F354" s="61">
        <f t="shared" si="26"/>
        <v>2820.2606620000001</v>
      </c>
    </row>
    <row r="355" spans="1:7" x14ac:dyDescent="0.25">
      <c r="A355" s="37">
        <v>8</v>
      </c>
      <c r="B355" s="29">
        <v>830</v>
      </c>
      <c r="C355" s="68">
        <f>680+5</f>
        <v>685</v>
      </c>
      <c r="D355" s="29" t="s">
        <v>6</v>
      </c>
      <c r="E355" s="34">
        <f>C355*E2</f>
        <v>3372.1043000000004</v>
      </c>
      <c r="F355" s="61">
        <f t="shared" si="26"/>
        <v>2866.2886550000003</v>
      </c>
    </row>
    <row r="359" spans="1:7" ht="25.5" x14ac:dyDescent="0.25">
      <c r="A359" s="37" t="s">
        <v>53</v>
      </c>
      <c r="B359" s="29" t="s">
        <v>0</v>
      </c>
      <c r="C359" s="68" t="s">
        <v>1</v>
      </c>
      <c r="D359" s="29" t="s">
        <v>2</v>
      </c>
      <c r="E359" s="12" t="s">
        <v>7</v>
      </c>
      <c r="F359" s="62" t="s">
        <v>150</v>
      </c>
      <c r="G359" s="40" t="s">
        <v>128</v>
      </c>
    </row>
    <row r="360" spans="1:7" x14ac:dyDescent="0.25">
      <c r="A360" s="37">
        <v>1</v>
      </c>
      <c r="B360" s="29">
        <v>729</v>
      </c>
      <c r="C360" s="68">
        <f>603+5</f>
        <v>608</v>
      </c>
      <c r="D360" s="29" t="s">
        <v>18</v>
      </c>
      <c r="E360" s="34">
        <f>C360*E2</f>
        <v>2993.05024</v>
      </c>
      <c r="F360" s="61">
        <f>E360*85%</f>
        <v>2544.0927040000001</v>
      </c>
    </row>
    <row r="361" spans="1:7" x14ac:dyDescent="0.25">
      <c r="A361" s="37">
        <v>2</v>
      </c>
      <c r="B361" s="29">
        <v>751</v>
      </c>
      <c r="C361" s="68">
        <f>620+5</f>
        <v>625</v>
      </c>
      <c r="D361" s="29" t="s">
        <v>4</v>
      </c>
      <c r="E361" s="34">
        <f>C361*E2</f>
        <v>3076.7375000000002</v>
      </c>
      <c r="F361" s="61">
        <f t="shared" ref="F361:F365" si="27">E361*85%</f>
        <v>2615.2268750000003</v>
      </c>
    </row>
    <row r="362" spans="1:7" x14ac:dyDescent="0.25">
      <c r="A362" s="37">
        <v>3</v>
      </c>
      <c r="B362" s="29">
        <v>791</v>
      </c>
      <c r="C362" s="68">
        <f>650+5</f>
        <v>655</v>
      </c>
      <c r="D362" s="29" t="s">
        <v>4</v>
      </c>
      <c r="E362" s="34">
        <f>C362*E2</f>
        <v>3224.4209000000001</v>
      </c>
      <c r="F362" s="61">
        <f t="shared" si="27"/>
        <v>2740.7577649999998</v>
      </c>
    </row>
    <row r="363" spans="1:7" x14ac:dyDescent="0.25">
      <c r="A363" s="37">
        <v>4</v>
      </c>
      <c r="B363" s="29">
        <v>835</v>
      </c>
      <c r="C363" s="68">
        <f>684+5</f>
        <v>689</v>
      </c>
      <c r="D363" s="29" t="s">
        <v>4</v>
      </c>
      <c r="E363" s="34">
        <f>C363*E2</f>
        <v>3391.7954200000004</v>
      </c>
      <c r="F363" s="61">
        <f t="shared" si="27"/>
        <v>2883.0261070000001</v>
      </c>
    </row>
    <row r="364" spans="1:7" x14ac:dyDescent="0.25">
      <c r="A364" s="37">
        <v>5</v>
      </c>
      <c r="B364" s="29">
        <v>883</v>
      </c>
      <c r="C364" s="68">
        <f>720+5</f>
        <v>725</v>
      </c>
      <c r="D364" s="29" t="s">
        <v>4</v>
      </c>
      <c r="E364" s="34">
        <f>C364*E2</f>
        <v>3569.0155000000004</v>
      </c>
      <c r="F364" s="61">
        <f t="shared" si="27"/>
        <v>3033.6631750000001</v>
      </c>
    </row>
    <row r="365" spans="1:7" x14ac:dyDescent="0.25">
      <c r="A365" s="37">
        <v>6</v>
      </c>
      <c r="B365" s="29">
        <v>940</v>
      </c>
      <c r="C365" s="68">
        <f>764+5</f>
        <v>769</v>
      </c>
      <c r="D365" s="29" t="s">
        <v>6</v>
      </c>
      <c r="E365" s="34">
        <f>C365*E2</f>
        <v>3785.6178200000004</v>
      </c>
      <c r="F365" s="61">
        <f t="shared" si="27"/>
        <v>3217.7751470000003</v>
      </c>
    </row>
    <row r="369" spans="1:7" ht="25.5" x14ac:dyDescent="0.25">
      <c r="A369" s="37" t="s">
        <v>53</v>
      </c>
      <c r="B369" s="29" t="s">
        <v>0</v>
      </c>
      <c r="C369" s="33" t="s">
        <v>1</v>
      </c>
      <c r="D369" s="29" t="s">
        <v>2</v>
      </c>
      <c r="E369" s="12" t="s">
        <v>7</v>
      </c>
      <c r="F369" s="62" t="s">
        <v>150</v>
      </c>
      <c r="G369" s="40" t="s">
        <v>129</v>
      </c>
    </row>
    <row r="370" spans="1:7" x14ac:dyDescent="0.25">
      <c r="A370" s="37">
        <v>1</v>
      </c>
      <c r="B370" s="29">
        <v>542</v>
      </c>
      <c r="C370" s="33">
        <f>461+5</f>
        <v>466</v>
      </c>
      <c r="D370" s="29" t="s">
        <v>3</v>
      </c>
      <c r="E370" s="34">
        <f>C370*E2</f>
        <v>2294.01548</v>
      </c>
      <c r="F370" s="61">
        <f>E370*85%</f>
        <v>1949.9131580000001</v>
      </c>
    </row>
    <row r="371" spans="1:7" x14ac:dyDescent="0.25">
      <c r="A371" s="37">
        <v>2</v>
      </c>
      <c r="B371" s="29">
        <v>600</v>
      </c>
      <c r="C371" s="33">
        <f>505+5</f>
        <v>510</v>
      </c>
      <c r="D371" s="29" t="s">
        <v>3</v>
      </c>
      <c r="E371" s="34">
        <f>C371*E2</f>
        <v>2510.6178</v>
      </c>
      <c r="F371" s="61">
        <f t="shared" ref="F371:F378" si="28">E371*85%</f>
        <v>2134.02513</v>
      </c>
    </row>
    <row r="372" spans="1:7" x14ac:dyDescent="0.25">
      <c r="A372" s="37">
        <v>3</v>
      </c>
      <c r="B372" s="29">
        <v>665</v>
      </c>
      <c r="C372" s="33">
        <f>555+5</f>
        <v>560</v>
      </c>
      <c r="D372" s="29" t="s">
        <v>18</v>
      </c>
      <c r="E372" s="34">
        <f>C372*E2</f>
        <v>2756.7568000000001</v>
      </c>
      <c r="F372" s="61">
        <f t="shared" si="28"/>
        <v>2343.2432800000001</v>
      </c>
    </row>
    <row r="373" spans="1:7" x14ac:dyDescent="0.25">
      <c r="A373" s="37">
        <v>4</v>
      </c>
      <c r="B373" s="29">
        <v>713</v>
      </c>
      <c r="C373" s="33">
        <f>591+5</f>
        <v>596</v>
      </c>
      <c r="D373" s="29" t="s">
        <v>18</v>
      </c>
      <c r="E373" s="34">
        <f>C373*E2</f>
        <v>2933.9768800000002</v>
      </c>
      <c r="F373" s="61">
        <f t="shared" si="28"/>
        <v>2493.8803480000001</v>
      </c>
    </row>
    <row r="374" spans="1:7" x14ac:dyDescent="0.25">
      <c r="A374" s="37">
        <v>5</v>
      </c>
      <c r="B374" s="29">
        <v>762</v>
      </c>
      <c r="C374" s="33">
        <f>628+5</f>
        <v>633</v>
      </c>
      <c r="D374" s="29" t="s">
        <v>18</v>
      </c>
      <c r="E374" s="34">
        <f>C374*E2</f>
        <v>3116.1197400000001</v>
      </c>
      <c r="F374" s="61">
        <f t="shared" si="28"/>
        <v>2648.701779</v>
      </c>
    </row>
    <row r="375" spans="1:7" x14ac:dyDescent="0.25">
      <c r="A375" s="37">
        <v>6</v>
      </c>
      <c r="B375" s="29">
        <v>813</v>
      </c>
      <c r="C375" s="33">
        <f>667+5</f>
        <v>672</v>
      </c>
      <c r="D375" s="29" t="s">
        <v>48</v>
      </c>
      <c r="E375" s="34">
        <f>C375*E2</f>
        <v>3308.1081600000002</v>
      </c>
      <c r="F375" s="61">
        <f t="shared" si="28"/>
        <v>2811.891936</v>
      </c>
    </row>
    <row r="376" spans="1:7" x14ac:dyDescent="0.25">
      <c r="A376" s="37">
        <v>7</v>
      </c>
      <c r="B376" s="29">
        <v>862</v>
      </c>
      <c r="C376" s="33">
        <f>705+5</f>
        <v>710</v>
      </c>
      <c r="D376" s="29" t="s">
        <v>48</v>
      </c>
      <c r="E376" s="12">
        <f>C376*E2</f>
        <v>3495.1738000000005</v>
      </c>
      <c r="F376" s="61">
        <f t="shared" si="28"/>
        <v>2970.8977300000001</v>
      </c>
    </row>
    <row r="377" spans="1:7" x14ac:dyDescent="0.25">
      <c r="A377" s="37">
        <v>8</v>
      </c>
      <c r="B377" s="29">
        <v>912</v>
      </c>
      <c r="C377" s="33">
        <f>743+5</f>
        <v>748</v>
      </c>
      <c r="D377" s="29" t="s">
        <v>48</v>
      </c>
      <c r="E377" s="34">
        <f>C377*E2</f>
        <v>3682.2394400000003</v>
      </c>
      <c r="F377" s="61">
        <f t="shared" si="28"/>
        <v>3129.9035240000003</v>
      </c>
    </row>
    <row r="378" spans="1:7" x14ac:dyDescent="0.25">
      <c r="A378" s="37">
        <v>9</v>
      </c>
      <c r="B378" s="29">
        <v>977</v>
      </c>
      <c r="C378" s="33">
        <f>792+5</f>
        <v>797</v>
      </c>
      <c r="D378" s="29" t="s">
        <v>6</v>
      </c>
      <c r="E378" s="34">
        <f>C378*E2</f>
        <v>3923.4556600000001</v>
      </c>
      <c r="F378" s="61">
        <f t="shared" si="28"/>
        <v>3334.9373110000001</v>
      </c>
    </row>
    <row r="382" spans="1:7" ht="25.5" x14ac:dyDescent="0.25">
      <c r="A382" s="37" t="s">
        <v>53</v>
      </c>
      <c r="B382" s="29" t="s">
        <v>0</v>
      </c>
      <c r="C382" s="33" t="s">
        <v>1</v>
      </c>
      <c r="D382" s="29" t="s">
        <v>2</v>
      </c>
      <c r="E382" s="12" t="s">
        <v>7</v>
      </c>
      <c r="F382" s="62" t="s">
        <v>150</v>
      </c>
      <c r="G382" s="40" t="s">
        <v>130</v>
      </c>
    </row>
    <row r="383" spans="1:7" x14ac:dyDescent="0.25">
      <c r="A383" s="37">
        <v>1</v>
      </c>
      <c r="B383" s="29">
        <v>813</v>
      </c>
      <c r="C383" s="33">
        <f>667+5</f>
        <v>672</v>
      </c>
      <c r="D383" s="29" t="s">
        <v>18</v>
      </c>
      <c r="E383" s="34">
        <f>C383*E2</f>
        <v>3308.1081600000002</v>
      </c>
      <c r="F383" s="61">
        <f>E383*85%</f>
        <v>2811.891936</v>
      </c>
    </row>
    <row r="384" spans="1:7" x14ac:dyDescent="0.25">
      <c r="A384" s="37">
        <v>2</v>
      </c>
      <c r="B384" s="29">
        <v>862</v>
      </c>
      <c r="C384" s="33">
        <f>705+5</f>
        <v>710</v>
      </c>
      <c r="D384" s="29" t="s">
        <v>18</v>
      </c>
      <c r="E384" s="34">
        <f>C384*E2</f>
        <v>3495.1738000000005</v>
      </c>
      <c r="F384" s="61">
        <f t="shared" ref="F384:F388" si="29">E384*85%</f>
        <v>2970.8977300000001</v>
      </c>
    </row>
    <row r="385" spans="1:7" x14ac:dyDescent="0.25">
      <c r="A385" s="37">
        <v>3</v>
      </c>
      <c r="B385" s="29">
        <v>912</v>
      </c>
      <c r="C385" s="33">
        <f>743+5</f>
        <v>748</v>
      </c>
      <c r="D385" s="29" t="s">
        <v>18</v>
      </c>
      <c r="E385" s="34">
        <f>C385*E2</f>
        <v>3682.2394400000003</v>
      </c>
      <c r="F385" s="61">
        <f t="shared" si="29"/>
        <v>3129.9035240000003</v>
      </c>
    </row>
    <row r="386" spans="1:7" x14ac:dyDescent="0.25">
      <c r="A386" s="37">
        <v>4</v>
      </c>
      <c r="B386" s="29">
        <v>977</v>
      </c>
      <c r="C386" s="33">
        <f>792+5</f>
        <v>797</v>
      </c>
      <c r="D386" s="29" t="s">
        <v>18</v>
      </c>
      <c r="E386" s="34">
        <f>C386*E2</f>
        <v>3923.4556600000001</v>
      </c>
      <c r="F386" s="61">
        <f t="shared" si="29"/>
        <v>3334.9373110000001</v>
      </c>
    </row>
    <row r="387" spans="1:7" x14ac:dyDescent="0.25">
      <c r="A387" s="37">
        <v>5</v>
      </c>
      <c r="B387" s="29">
        <v>1027</v>
      </c>
      <c r="C387" s="33">
        <f>830+5</f>
        <v>835</v>
      </c>
      <c r="D387" s="29" t="s">
        <v>4</v>
      </c>
      <c r="E387" s="34">
        <f>C387*E2</f>
        <v>4110.5213000000003</v>
      </c>
      <c r="F387" s="61">
        <f t="shared" si="29"/>
        <v>3493.9431050000003</v>
      </c>
    </row>
    <row r="388" spans="1:7" x14ac:dyDescent="0.25">
      <c r="A388" s="37">
        <v>6</v>
      </c>
      <c r="B388" s="29" t="s">
        <v>91</v>
      </c>
      <c r="C388" s="33">
        <f>890+5</f>
        <v>895</v>
      </c>
      <c r="D388" s="29" t="s">
        <v>6</v>
      </c>
      <c r="E388" s="34">
        <f>C388*E2</f>
        <v>4405.8881000000001</v>
      </c>
      <c r="F388" s="61">
        <f t="shared" si="29"/>
        <v>3745.0048849999998</v>
      </c>
    </row>
    <row r="392" spans="1:7" ht="25.5" x14ac:dyDescent="0.25">
      <c r="A392" s="37" t="s">
        <v>53</v>
      </c>
      <c r="B392" s="29" t="s">
        <v>0</v>
      </c>
      <c r="C392" s="33" t="s">
        <v>1</v>
      </c>
      <c r="D392" s="29" t="s">
        <v>2</v>
      </c>
      <c r="E392" s="12" t="s">
        <v>7</v>
      </c>
      <c r="F392" s="62" t="s">
        <v>150</v>
      </c>
      <c r="G392" s="40" t="s">
        <v>131</v>
      </c>
    </row>
    <row r="393" spans="1:7" x14ac:dyDescent="0.25">
      <c r="A393" s="37">
        <v>1</v>
      </c>
      <c r="B393" s="29">
        <v>912</v>
      </c>
      <c r="C393" s="33">
        <f>743+5</f>
        <v>748</v>
      </c>
      <c r="D393" s="29" t="s">
        <v>18</v>
      </c>
      <c r="E393" s="34">
        <f>C393*E2</f>
        <v>3682.2394400000003</v>
      </c>
      <c r="F393" s="61">
        <f>E393*85%</f>
        <v>3129.9035240000003</v>
      </c>
    </row>
    <row r="394" spans="1:7" x14ac:dyDescent="0.25">
      <c r="A394" s="37">
        <v>2</v>
      </c>
      <c r="B394" s="29">
        <v>977</v>
      </c>
      <c r="C394" s="33">
        <f>792+5</f>
        <v>797</v>
      </c>
      <c r="D394" s="29" t="s">
        <v>18</v>
      </c>
      <c r="E394" s="34">
        <f>C394*E2</f>
        <v>3923.4556600000001</v>
      </c>
      <c r="F394" s="61">
        <f t="shared" ref="F394:F398" si="30">E394*85%</f>
        <v>3334.9373110000001</v>
      </c>
    </row>
    <row r="395" spans="1:7" x14ac:dyDescent="0.25">
      <c r="A395" s="37">
        <v>3</v>
      </c>
      <c r="B395" s="29">
        <v>1027</v>
      </c>
      <c r="C395" s="33">
        <f>830+5</f>
        <v>835</v>
      </c>
      <c r="D395" s="29" t="s">
        <v>4</v>
      </c>
      <c r="E395" s="34">
        <f>C395*E2</f>
        <v>4110.5213000000003</v>
      </c>
      <c r="F395" s="61">
        <f t="shared" si="30"/>
        <v>3493.9431050000003</v>
      </c>
    </row>
    <row r="396" spans="1:7" x14ac:dyDescent="0.25">
      <c r="A396" s="37">
        <v>4</v>
      </c>
      <c r="B396" s="29" t="s">
        <v>91</v>
      </c>
      <c r="C396" s="33">
        <f>890+5</f>
        <v>895</v>
      </c>
      <c r="D396" s="29" t="s">
        <v>4</v>
      </c>
      <c r="E396" s="34">
        <f>C396*E2</f>
        <v>4405.8881000000001</v>
      </c>
      <c r="F396" s="61">
        <f t="shared" si="30"/>
        <v>3745.0048849999998</v>
      </c>
    </row>
    <row r="397" spans="1:7" x14ac:dyDescent="0.25">
      <c r="A397" s="37">
        <v>5</v>
      </c>
      <c r="B397" s="29" t="s">
        <v>98</v>
      </c>
      <c r="C397" s="33">
        <f>972+5</f>
        <v>977</v>
      </c>
      <c r="D397" s="29" t="s">
        <v>6</v>
      </c>
      <c r="E397" s="34">
        <f>C397*E2</f>
        <v>4809.5560600000008</v>
      </c>
      <c r="F397" s="61">
        <f t="shared" si="30"/>
        <v>4088.1226510000006</v>
      </c>
    </row>
    <row r="398" spans="1:7" x14ac:dyDescent="0.25">
      <c r="A398" s="37" t="s">
        <v>90</v>
      </c>
      <c r="B398" s="29" t="s">
        <v>99</v>
      </c>
      <c r="C398" s="33">
        <f>1067+5</f>
        <v>1072</v>
      </c>
      <c r="D398" s="29" t="s">
        <v>6</v>
      </c>
      <c r="E398" s="34">
        <f>C398*E2</f>
        <v>5277.2201600000008</v>
      </c>
      <c r="F398" s="61">
        <f t="shared" si="30"/>
        <v>4485.6371360000003</v>
      </c>
    </row>
    <row r="402" spans="1:7" ht="25.5" x14ac:dyDescent="0.25">
      <c r="A402" s="37" t="s">
        <v>53</v>
      </c>
      <c r="B402" s="29" t="s">
        <v>0</v>
      </c>
      <c r="C402" s="33" t="s">
        <v>1</v>
      </c>
      <c r="D402" s="29" t="s">
        <v>2</v>
      </c>
      <c r="E402" s="12" t="s">
        <v>7</v>
      </c>
      <c r="F402" s="62" t="s">
        <v>150</v>
      </c>
      <c r="G402" s="40" t="s">
        <v>132</v>
      </c>
    </row>
    <row r="403" spans="1:7" x14ac:dyDescent="0.25">
      <c r="A403" s="37">
        <v>1</v>
      </c>
      <c r="B403" s="29">
        <v>444</v>
      </c>
      <c r="C403" s="33">
        <f>390+5</f>
        <v>395</v>
      </c>
      <c r="D403" s="29" t="s">
        <v>3</v>
      </c>
      <c r="E403" s="34">
        <f>C403*E2</f>
        <v>1944.4981000000002</v>
      </c>
      <c r="F403" s="61">
        <f>E403*85%</f>
        <v>1652.8233850000001</v>
      </c>
    </row>
    <row r="404" spans="1:7" x14ac:dyDescent="0.25">
      <c r="A404" s="37">
        <v>2</v>
      </c>
      <c r="B404" s="29">
        <v>484</v>
      </c>
      <c r="C404" s="33">
        <f>419+5</f>
        <v>424</v>
      </c>
      <c r="D404" s="29" t="s">
        <v>82</v>
      </c>
      <c r="E404" s="34">
        <f>C404*E2</f>
        <v>2087.2587200000003</v>
      </c>
      <c r="F404" s="61">
        <f t="shared" ref="F404:F413" si="31">E404*85%</f>
        <v>1774.1699120000001</v>
      </c>
    </row>
    <row r="405" spans="1:7" x14ac:dyDescent="0.25">
      <c r="A405" s="37">
        <v>3</v>
      </c>
      <c r="B405" s="29">
        <v>514</v>
      </c>
      <c r="C405" s="33">
        <f>442+5</f>
        <v>447</v>
      </c>
      <c r="D405" s="29" t="s">
        <v>18</v>
      </c>
      <c r="E405" s="34">
        <f>C405*E2</f>
        <v>2200.4826600000001</v>
      </c>
      <c r="F405" s="61">
        <f t="shared" si="31"/>
        <v>1870.410261</v>
      </c>
    </row>
    <row r="406" spans="1:7" x14ac:dyDescent="0.25">
      <c r="A406" s="37">
        <v>4</v>
      </c>
      <c r="B406" s="29">
        <v>544</v>
      </c>
      <c r="C406" s="33">
        <f>463+5</f>
        <v>468</v>
      </c>
      <c r="D406" s="29" t="s">
        <v>18</v>
      </c>
      <c r="E406" s="34">
        <f>C406*E2</f>
        <v>2303.8610400000002</v>
      </c>
      <c r="F406" s="61">
        <f t="shared" si="31"/>
        <v>1958.2818840000002</v>
      </c>
    </row>
    <row r="407" spans="1:7" x14ac:dyDescent="0.25">
      <c r="A407" s="37">
        <v>5</v>
      </c>
      <c r="B407" s="29">
        <v>576</v>
      </c>
      <c r="C407" s="33">
        <f>486+5</f>
        <v>491</v>
      </c>
      <c r="D407" s="29" t="s">
        <v>48</v>
      </c>
      <c r="E407" s="34">
        <f>C407*E2</f>
        <v>2417.0849800000001</v>
      </c>
      <c r="F407" s="61">
        <f t="shared" si="31"/>
        <v>2054.5222330000001</v>
      </c>
    </row>
    <row r="408" spans="1:7" x14ac:dyDescent="0.25">
      <c r="A408" s="37">
        <v>6</v>
      </c>
      <c r="B408" s="29">
        <v>611</v>
      </c>
      <c r="C408" s="33">
        <f>513+5</f>
        <v>518</v>
      </c>
      <c r="D408" s="29" t="s">
        <v>4</v>
      </c>
      <c r="E408" s="34">
        <f>C408*E2</f>
        <v>2550.0000400000004</v>
      </c>
      <c r="F408" s="61">
        <f t="shared" si="31"/>
        <v>2167.5000340000001</v>
      </c>
    </row>
    <row r="409" spans="1:7" x14ac:dyDescent="0.25">
      <c r="A409" s="37">
        <v>7</v>
      </c>
      <c r="B409" s="29">
        <v>653</v>
      </c>
      <c r="C409" s="33">
        <f>545+5</f>
        <v>550</v>
      </c>
      <c r="D409" s="29" t="s">
        <v>4</v>
      </c>
      <c r="E409" s="34">
        <f>C409*E2</f>
        <v>2707.529</v>
      </c>
      <c r="F409" s="61">
        <f t="shared" si="31"/>
        <v>2301.3996499999998</v>
      </c>
    </row>
    <row r="410" spans="1:7" x14ac:dyDescent="0.25">
      <c r="A410" s="37">
        <v>8</v>
      </c>
      <c r="B410" s="29">
        <v>693</v>
      </c>
      <c r="C410" s="33">
        <f>575+5</f>
        <v>580</v>
      </c>
      <c r="D410" s="29" t="s">
        <v>4</v>
      </c>
      <c r="E410" s="34">
        <f>C410*E2</f>
        <v>2855.2124000000003</v>
      </c>
      <c r="F410" s="61">
        <f t="shared" si="31"/>
        <v>2426.9305400000003</v>
      </c>
    </row>
    <row r="411" spans="1:7" x14ac:dyDescent="0.25">
      <c r="A411" s="37">
        <v>9</v>
      </c>
      <c r="B411" s="29">
        <v>732</v>
      </c>
      <c r="C411" s="33">
        <f>605+5</f>
        <v>610</v>
      </c>
      <c r="D411" s="29" t="s">
        <v>5</v>
      </c>
      <c r="E411" s="34">
        <f>C411*E2</f>
        <v>3002.8958000000002</v>
      </c>
      <c r="F411" s="61">
        <f t="shared" si="31"/>
        <v>2552.4614300000003</v>
      </c>
    </row>
    <row r="412" spans="1:7" x14ac:dyDescent="0.25">
      <c r="A412" s="37">
        <v>10</v>
      </c>
      <c r="B412" s="29">
        <v>778</v>
      </c>
      <c r="C412" s="33">
        <f>640+5</f>
        <v>645</v>
      </c>
      <c r="D412" s="29" t="s">
        <v>5</v>
      </c>
      <c r="E412" s="34">
        <f>C412*E2</f>
        <v>3175.1931000000004</v>
      </c>
      <c r="F412" s="61">
        <f t="shared" si="31"/>
        <v>2698.9141350000004</v>
      </c>
    </row>
    <row r="413" spans="1:7" x14ac:dyDescent="0.25">
      <c r="A413" s="37">
        <v>11</v>
      </c>
      <c r="B413" s="29">
        <v>821</v>
      </c>
      <c r="C413" s="33">
        <f>673+5</f>
        <v>678</v>
      </c>
      <c r="D413" s="29" t="s">
        <v>6</v>
      </c>
      <c r="E413" s="34">
        <f>C413*E2</f>
        <v>3337.6448400000004</v>
      </c>
      <c r="F413" s="61">
        <f t="shared" si="31"/>
        <v>2836.9981140000004</v>
      </c>
    </row>
    <row r="417" spans="1:7" ht="25.5" x14ac:dyDescent="0.25">
      <c r="A417" s="37" t="s">
        <v>53</v>
      </c>
      <c r="B417" s="29" t="s">
        <v>0</v>
      </c>
      <c r="C417" s="33" t="s">
        <v>1</v>
      </c>
      <c r="D417" s="29" t="s">
        <v>2</v>
      </c>
      <c r="E417" s="12" t="s">
        <v>7</v>
      </c>
      <c r="F417" s="62" t="s">
        <v>150</v>
      </c>
      <c r="G417" s="40" t="s">
        <v>133</v>
      </c>
    </row>
    <row r="418" spans="1:7" x14ac:dyDescent="0.25">
      <c r="A418" s="37">
        <v>1</v>
      </c>
      <c r="B418" s="29">
        <v>489</v>
      </c>
      <c r="C418" s="33">
        <f>422+5</f>
        <v>427</v>
      </c>
      <c r="D418" s="29" t="s">
        <v>82</v>
      </c>
      <c r="E418" s="34">
        <f>C418*E2</f>
        <v>2102.0270600000003</v>
      </c>
      <c r="F418" s="61">
        <f>E418*85%</f>
        <v>1786.7230010000003</v>
      </c>
    </row>
    <row r="419" spans="1:7" x14ac:dyDescent="0.25">
      <c r="A419" s="37">
        <v>2</v>
      </c>
      <c r="B419" s="29">
        <v>518</v>
      </c>
      <c r="C419" s="33">
        <f>445+5</f>
        <v>450</v>
      </c>
      <c r="D419" s="29" t="s">
        <v>18</v>
      </c>
      <c r="E419" s="34">
        <f>C419*E2</f>
        <v>2215.2510000000002</v>
      </c>
      <c r="F419" s="61">
        <f t="shared" ref="F419:F428" si="32">E419*85%</f>
        <v>1882.9633500000002</v>
      </c>
    </row>
    <row r="420" spans="1:7" x14ac:dyDescent="0.25">
      <c r="A420" s="37">
        <v>3</v>
      </c>
      <c r="B420" s="29">
        <v>558</v>
      </c>
      <c r="C420" s="33">
        <f>473+5</f>
        <v>478</v>
      </c>
      <c r="D420" s="29" t="s">
        <v>18</v>
      </c>
      <c r="E420" s="34">
        <f>C420*E2</f>
        <v>2353.0888400000003</v>
      </c>
      <c r="F420" s="61">
        <f t="shared" si="32"/>
        <v>2000.1255140000003</v>
      </c>
    </row>
    <row r="421" spans="1:7" x14ac:dyDescent="0.25">
      <c r="A421" s="37">
        <v>4</v>
      </c>
      <c r="B421" s="29">
        <v>595</v>
      </c>
      <c r="C421" s="33">
        <f>501+5</f>
        <v>506</v>
      </c>
      <c r="D421" s="29" t="s">
        <v>18</v>
      </c>
      <c r="E421" s="34">
        <f>C421*E2</f>
        <v>2490.92668</v>
      </c>
      <c r="F421" s="61">
        <f t="shared" si="32"/>
        <v>2117.2876780000001</v>
      </c>
    </row>
    <row r="422" spans="1:7" x14ac:dyDescent="0.25">
      <c r="A422" s="37">
        <v>5</v>
      </c>
      <c r="B422" s="29">
        <v>631</v>
      </c>
      <c r="C422" s="33">
        <f>529+5</f>
        <v>534</v>
      </c>
      <c r="D422" s="29" t="s">
        <v>18</v>
      </c>
      <c r="E422" s="34">
        <f>C422*E2</f>
        <v>2628.7645200000002</v>
      </c>
      <c r="F422" s="61">
        <f t="shared" si="32"/>
        <v>2234.449842</v>
      </c>
    </row>
    <row r="423" spans="1:7" x14ac:dyDescent="0.25">
      <c r="A423" s="37">
        <v>6</v>
      </c>
      <c r="B423" s="29">
        <v>669</v>
      </c>
      <c r="C423" s="33">
        <f>558+5</f>
        <v>563</v>
      </c>
      <c r="D423" s="29" t="s">
        <v>48</v>
      </c>
      <c r="E423" s="34">
        <f>C423*E2</f>
        <v>2771.5251400000002</v>
      </c>
      <c r="F423" s="61">
        <f t="shared" si="32"/>
        <v>2355.7963690000001</v>
      </c>
    </row>
    <row r="424" spans="1:7" x14ac:dyDescent="0.25">
      <c r="A424" s="37">
        <v>7</v>
      </c>
      <c r="B424" s="29">
        <v>709</v>
      </c>
      <c r="C424" s="33">
        <f>588+5</f>
        <v>593</v>
      </c>
      <c r="D424" s="29" t="s">
        <v>4</v>
      </c>
      <c r="E424" s="34">
        <f>C424*E2</f>
        <v>2919.2085400000001</v>
      </c>
      <c r="F424" s="61">
        <f t="shared" si="32"/>
        <v>2481.3272590000001</v>
      </c>
    </row>
    <row r="425" spans="1:7" x14ac:dyDescent="0.25">
      <c r="A425" s="37">
        <v>8</v>
      </c>
      <c r="B425" s="29">
        <v>750</v>
      </c>
      <c r="C425" s="33">
        <f>619+5</f>
        <v>624</v>
      </c>
      <c r="D425" s="29" t="s">
        <v>4</v>
      </c>
      <c r="E425" s="34">
        <f>C425*E2</f>
        <v>3071.8147200000003</v>
      </c>
      <c r="F425" s="61">
        <f t="shared" si="32"/>
        <v>2611.042512</v>
      </c>
    </row>
    <row r="426" spans="1:7" x14ac:dyDescent="0.25">
      <c r="A426" s="37">
        <v>9</v>
      </c>
      <c r="B426" s="29">
        <v>792</v>
      </c>
      <c r="C426" s="33">
        <f>651+5</f>
        <v>656</v>
      </c>
      <c r="D426" s="29" t="s">
        <v>5</v>
      </c>
      <c r="E426" s="34">
        <f>C426*E2</f>
        <v>3229.3436800000004</v>
      </c>
      <c r="F426" s="61">
        <f t="shared" si="32"/>
        <v>2744.9421280000001</v>
      </c>
    </row>
    <row r="427" spans="1:7" x14ac:dyDescent="0.25">
      <c r="A427" s="37">
        <v>10</v>
      </c>
      <c r="B427" s="29">
        <v>836</v>
      </c>
      <c r="C427" s="33">
        <f>685+5</f>
        <v>690</v>
      </c>
      <c r="D427" s="29" t="s">
        <v>5</v>
      </c>
      <c r="E427" s="34">
        <f>C427*E2</f>
        <v>3396.7182000000003</v>
      </c>
      <c r="F427" s="61">
        <f t="shared" si="32"/>
        <v>2887.21047</v>
      </c>
    </row>
    <row r="428" spans="1:7" x14ac:dyDescent="0.25">
      <c r="A428" s="37">
        <v>11</v>
      </c>
      <c r="B428" s="29">
        <v>886</v>
      </c>
      <c r="C428" s="33">
        <f>722+5</f>
        <v>727</v>
      </c>
      <c r="D428" s="29" t="s">
        <v>6</v>
      </c>
      <c r="E428" s="34">
        <f>C428*E2</f>
        <v>3578.8610600000002</v>
      </c>
      <c r="F428" s="61">
        <f t="shared" si="32"/>
        <v>3042.0319010000003</v>
      </c>
    </row>
    <row r="432" spans="1:7" ht="25.5" x14ac:dyDescent="0.25">
      <c r="A432" s="37" t="s">
        <v>53</v>
      </c>
      <c r="B432" s="29" t="s">
        <v>0</v>
      </c>
      <c r="C432" s="33" t="s">
        <v>1</v>
      </c>
      <c r="D432" s="29" t="s">
        <v>2</v>
      </c>
      <c r="E432" s="12" t="s">
        <v>7</v>
      </c>
      <c r="F432" s="62" t="s">
        <v>150</v>
      </c>
      <c r="G432" s="40" t="s">
        <v>134</v>
      </c>
    </row>
    <row r="433" spans="1:7" x14ac:dyDescent="0.25">
      <c r="A433" s="37">
        <v>1</v>
      </c>
      <c r="B433" s="29">
        <v>489</v>
      </c>
      <c r="C433" s="33">
        <f>422+5</f>
        <v>427</v>
      </c>
      <c r="D433" s="29" t="s">
        <v>82</v>
      </c>
      <c r="E433" s="34">
        <f>C433*E2</f>
        <v>2102.0270600000003</v>
      </c>
      <c r="F433" s="61">
        <f>E433*85%</f>
        <v>1786.7230010000003</v>
      </c>
    </row>
    <row r="434" spans="1:7" x14ac:dyDescent="0.25">
      <c r="A434" s="37">
        <v>2</v>
      </c>
      <c r="B434" s="29">
        <v>518</v>
      </c>
      <c r="C434" s="33">
        <f>445+5</f>
        <v>450</v>
      </c>
      <c r="D434" s="29" t="s">
        <v>18</v>
      </c>
      <c r="E434" s="34">
        <f>C434*E2</f>
        <v>2215.2510000000002</v>
      </c>
      <c r="F434" s="61">
        <f t="shared" ref="F434:F443" si="33">E434*85%</f>
        <v>1882.9633500000002</v>
      </c>
    </row>
    <row r="435" spans="1:7" x14ac:dyDescent="0.25">
      <c r="A435" s="37">
        <v>3</v>
      </c>
      <c r="B435" s="29">
        <v>558</v>
      </c>
      <c r="C435" s="33">
        <f>473+5</f>
        <v>478</v>
      </c>
      <c r="D435" s="29" t="s">
        <v>18</v>
      </c>
      <c r="E435" s="34">
        <f>C435*E2</f>
        <v>2353.0888400000003</v>
      </c>
      <c r="F435" s="61">
        <f t="shared" si="33"/>
        <v>2000.1255140000003</v>
      </c>
    </row>
    <row r="436" spans="1:7" x14ac:dyDescent="0.25">
      <c r="A436" s="37">
        <v>4</v>
      </c>
      <c r="B436" s="29">
        <v>595</v>
      </c>
      <c r="C436" s="33">
        <f>501+5</f>
        <v>506</v>
      </c>
      <c r="D436" s="29" t="s">
        <v>18</v>
      </c>
      <c r="E436" s="34">
        <f>C436*E2</f>
        <v>2490.92668</v>
      </c>
      <c r="F436" s="61">
        <f t="shared" si="33"/>
        <v>2117.2876780000001</v>
      </c>
    </row>
    <row r="437" spans="1:7" x14ac:dyDescent="0.25">
      <c r="A437" s="37">
        <v>5</v>
      </c>
      <c r="B437" s="29">
        <v>631</v>
      </c>
      <c r="C437" s="33">
        <f>529+5</f>
        <v>534</v>
      </c>
      <c r="D437" s="29" t="s">
        <v>18</v>
      </c>
      <c r="E437" s="34">
        <f>C437*E2</f>
        <v>2628.7645200000002</v>
      </c>
      <c r="F437" s="61">
        <f t="shared" si="33"/>
        <v>2234.449842</v>
      </c>
    </row>
    <row r="438" spans="1:7" x14ac:dyDescent="0.25">
      <c r="A438" s="37">
        <v>6</v>
      </c>
      <c r="B438" s="29">
        <v>669</v>
      </c>
      <c r="C438" s="33">
        <f>558+5</f>
        <v>563</v>
      </c>
      <c r="D438" s="29" t="s">
        <v>48</v>
      </c>
      <c r="E438" s="34">
        <f>C438*E2</f>
        <v>2771.5251400000002</v>
      </c>
      <c r="F438" s="61">
        <f t="shared" si="33"/>
        <v>2355.7963690000001</v>
      </c>
    </row>
    <row r="439" spans="1:7" x14ac:dyDescent="0.25">
      <c r="A439" s="37">
        <v>7</v>
      </c>
      <c r="B439" s="29">
        <v>709</v>
      </c>
      <c r="C439" s="33">
        <f>588+5</f>
        <v>593</v>
      </c>
      <c r="D439" s="29" t="s">
        <v>4</v>
      </c>
      <c r="E439" s="34">
        <f>C439*E2</f>
        <v>2919.2085400000001</v>
      </c>
      <c r="F439" s="61">
        <f t="shared" si="33"/>
        <v>2481.3272590000001</v>
      </c>
    </row>
    <row r="440" spans="1:7" x14ac:dyDescent="0.25">
      <c r="A440" s="37">
        <v>8</v>
      </c>
      <c r="B440" s="29">
        <v>750</v>
      </c>
      <c r="C440" s="33">
        <f>619+5</f>
        <v>624</v>
      </c>
      <c r="D440" s="29" t="s">
        <v>4</v>
      </c>
      <c r="E440" s="34">
        <f>C440*E2</f>
        <v>3071.8147200000003</v>
      </c>
      <c r="F440" s="61">
        <f t="shared" si="33"/>
        <v>2611.042512</v>
      </c>
    </row>
    <row r="441" spans="1:7" x14ac:dyDescent="0.25">
      <c r="A441" s="37">
        <v>9</v>
      </c>
      <c r="B441" s="29">
        <v>792</v>
      </c>
      <c r="C441" s="33">
        <f>651+5</f>
        <v>656</v>
      </c>
      <c r="D441" s="29" t="s">
        <v>5</v>
      </c>
      <c r="E441" s="34">
        <f>C441*E2</f>
        <v>3229.3436800000004</v>
      </c>
      <c r="F441" s="61">
        <f t="shared" si="33"/>
        <v>2744.9421280000001</v>
      </c>
    </row>
    <row r="442" spans="1:7" x14ac:dyDescent="0.25">
      <c r="A442" s="37">
        <v>10</v>
      </c>
      <c r="B442" s="29">
        <v>836</v>
      </c>
      <c r="C442" s="33">
        <f>685+5</f>
        <v>690</v>
      </c>
      <c r="D442" s="29" t="s">
        <v>5</v>
      </c>
      <c r="E442" s="34">
        <f>C442*E2</f>
        <v>3396.7182000000003</v>
      </c>
      <c r="F442" s="61">
        <f t="shared" si="33"/>
        <v>2887.21047</v>
      </c>
    </row>
    <row r="443" spans="1:7" x14ac:dyDescent="0.25">
      <c r="A443" s="37">
        <v>11</v>
      </c>
      <c r="B443" s="29">
        <v>886</v>
      </c>
      <c r="C443" s="33">
        <f>722+5</f>
        <v>727</v>
      </c>
      <c r="D443" s="29" t="s">
        <v>6</v>
      </c>
      <c r="E443" s="34">
        <f>C443*E2</f>
        <v>3578.8610600000002</v>
      </c>
      <c r="F443" s="61">
        <f t="shared" si="33"/>
        <v>3042.0319010000003</v>
      </c>
    </row>
    <row r="447" spans="1:7" ht="25.5" x14ac:dyDescent="0.25">
      <c r="A447" s="37" t="s">
        <v>53</v>
      </c>
      <c r="B447" s="29" t="s">
        <v>0</v>
      </c>
      <c r="C447" s="33" t="s">
        <v>1</v>
      </c>
      <c r="D447" s="29" t="s">
        <v>2</v>
      </c>
      <c r="E447" s="12" t="s">
        <v>7</v>
      </c>
      <c r="F447" s="62" t="s">
        <v>150</v>
      </c>
      <c r="G447" s="40" t="s">
        <v>135</v>
      </c>
    </row>
    <row r="448" spans="1:7" x14ac:dyDescent="0.25">
      <c r="A448" s="37">
        <v>1</v>
      </c>
      <c r="B448" s="29">
        <v>614</v>
      </c>
      <c r="C448" s="33">
        <f>515+5</f>
        <v>520</v>
      </c>
      <c r="D448" s="29" t="s">
        <v>18</v>
      </c>
      <c r="E448" s="34">
        <f>C448*E2</f>
        <v>2559.8456000000001</v>
      </c>
      <c r="F448" s="61">
        <f>E448*85%</f>
        <v>2175.8687599999998</v>
      </c>
    </row>
    <row r="449" spans="1:7" x14ac:dyDescent="0.25">
      <c r="A449" s="37">
        <v>2</v>
      </c>
      <c r="B449" s="29">
        <v>663</v>
      </c>
      <c r="C449" s="33">
        <f>553+5</f>
        <v>558</v>
      </c>
      <c r="D449" s="29" t="s">
        <v>18</v>
      </c>
      <c r="E449" s="34">
        <f>C449*E2</f>
        <v>2746.9112400000004</v>
      </c>
      <c r="F449" s="61">
        <f t="shared" ref="F449:F456" si="34">E449*85%</f>
        <v>2334.8745540000004</v>
      </c>
    </row>
    <row r="450" spans="1:7" x14ac:dyDescent="0.25">
      <c r="A450" s="37">
        <v>3</v>
      </c>
      <c r="B450" s="29">
        <v>695</v>
      </c>
      <c r="C450" s="33">
        <f>577+5</f>
        <v>582</v>
      </c>
      <c r="D450" s="29" t="s">
        <v>18</v>
      </c>
      <c r="E450" s="34">
        <f>C450*E2</f>
        <v>2865.0579600000001</v>
      </c>
      <c r="F450" s="61">
        <f t="shared" si="34"/>
        <v>2435.299266</v>
      </c>
    </row>
    <row r="451" spans="1:7" x14ac:dyDescent="0.25">
      <c r="A451" s="37">
        <v>4</v>
      </c>
      <c r="B451" s="29">
        <v>739</v>
      </c>
      <c r="C451" s="33">
        <f>610+5</f>
        <v>615</v>
      </c>
      <c r="D451" s="29" t="s">
        <v>48</v>
      </c>
      <c r="E451" s="34">
        <f>C451*E2</f>
        <v>3027.5097000000001</v>
      </c>
      <c r="F451" s="61">
        <f t="shared" si="34"/>
        <v>2573.383245</v>
      </c>
    </row>
    <row r="452" spans="1:7" x14ac:dyDescent="0.25">
      <c r="A452" s="37">
        <v>5</v>
      </c>
      <c r="B452" s="29">
        <v>781</v>
      </c>
      <c r="C452" s="33">
        <f>643+5</f>
        <v>648</v>
      </c>
      <c r="D452" s="29" t="s">
        <v>4</v>
      </c>
      <c r="E452" s="34">
        <f>C452*E2</f>
        <v>3189.96144</v>
      </c>
      <c r="F452" s="61">
        <f t="shared" si="34"/>
        <v>2711.467224</v>
      </c>
    </row>
    <row r="453" spans="1:7" x14ac:dyDescent="0.25">
      <c r="A453" s="37">
        <v>6</v>
      </c>
      <c r="B453" s="29">
        <v>825</v>
      </c>
      <c r="C453" s="33">
        <f>676+5</f>
        <v>681</v>
      </c>
      <c r="D453" s="29" t="s">
        <v>4</v>
      </c>
      <c r="E453" s="34">
        <f>C453*E2</f>
        <v>3352.4131800000005</v>
      </c>
      <c r="F453" s="61">
        <f t="shared" si="34"/>
        <v>2849.5512030000004</v>
      </c>
    </row>
    <row r="454" spans="1:7" x14ac:dyDescent="0.25">
      <c r="A454" s="37">
        <v>7</v>
      </c>
      <c r="B454" s="29">
        <v>868</v>
      </c>
      <c r="C454" s="33">
        <f>709+5</f>
        <v>714</v>
      </c>
      <c r="D454" s="29" t="s">
        <v>5</v>
      </c>
      <c r="E454" s="34">
        <f>C454*E2</f>
        <v>3514.8649200000004</v>
      </c>
      <c r="F454" s="61">
        <f t="shared" si="34"/>
        <v>2987.6351820000004</v>
      </c>
    </row>
    <row r="455" spans="1:7" x14ac:dyDescent="0.25">
      <c r="A455" s="37">
        <v>8</v>
      </c>
      <c r="B455" s="29">
        <v>906</v>
      </c>
      <c r="C455" s="33">
        <f>738+5</f>
        <v>743</v>
      </c>
      <c r="D455" s="29" t="s">
        <v>5</v>
      </c>
      <c r="E455" s="34">
        <f>C455*E2</f>
        <v>3657.6255400000005</v>
      </c>
      <c r="F455" s="61">
        <f t="shared" si="34"/>
        <v>3108.9817090000001</v>
      </c>
    </row>
    <row r="456" spans="1:7" x14ac:dyDescent="0.25">
      <c r="A456" s="37">
        <v>9</v>
      </c>
      <c r="B456" s="29">
        <v>940</v>
      </c>
      <c r="C456" s="33">
        <f>764+5</f>
        <v>769</v>
      </c>
      <c r="D456" s="29" t="s">
        <v>6</v>
      </c>
      <c r="E456" s="34">
        <f>C456*E2</f>
        <v>3785.6178200000004</v>
      </c>
      <c r="F456" s="61">
        <f t="shared" si="34"/>
        <v>3217.7751470000003</v>
      </c>
    </row>
    <row r="460" spans="1:7" ht="25.5" x14ac:dyDescent="0.25">
      <c r="A460" s="37" t="s">
        <v>53</v>
      </c>
      <c r="B460" s="29" t="s">
        <v>0</v>
      </c>
      <c r="C460" s="33" t="s">
        <v>1</v>
      </c>
      <c r="D460" s="29" t="s">
        <v>2</v>
      </c>
      <c r="E460" s="12" t="s">
        <v>7</v>
      </c>
      <c r="F460" s="62" t="s">
        <v>150</v>
      </c>
      <c r="G460" s="40" t="s">
        <v>136</v>
      </c>
    </row>
    <row r="461" spans="1:7" x14ac:dyDescent="0.25">
      <c r="A461" s="37">
        <v>1</v>
      </c>
      <c r="B461" s="29">
        <v>444</v>
      </c>
      <c r="C461" s="33">
        <f>390+5</f>
        <v>395</v>
      </c>
      <c r="D461" s="29" t="s">
        <v>3</v>
      </c>
      <c r="E461" s="34">
        <f>C461*E2</f>
        <v>1944.4981000000002</v>
      </c>
      <c r="F461" s="61">
        <f>E461*85%</f>
        <v>1652.8233850000001</v>
      </c>
    </row>
    <row r="462" spans="1:7" x14ac:dyDescent="0.25">
      <c r="A462" s="37">
        <v>2</v>
      </c>
      <c r="B462" s="29">
        <v>457</v>
      </c>
      <c r="C462" s="33">
        <f>400+5</f>
        <v>405</v>
      </c>
      <c r="D462" s="29" t="s">
        <v>3</v>
      </c>
      <c r="E462" s="34">
        <f>C462*E2</f>
        <v>1993.7259000000001</v>
      </c>
      <c r="F462" s="61">
        <f t="shared" ref="F462:F471" si="35">E462*85%</f>
        <v>1694.667015</v>
      </c>
    </row>
    <row r="463" spans="1:7" x14ac:dyDescent="0.25">
      <c r="A463" s="37">
        <v>3</v>
      </c>
      <c r="B463" s="29">
        <v>471</v>
      </c>
      <c r="C463" s="33">
        <f>411+5</f>
        <v>416</v>
      </c>
      <c r="D463" s="29" t="s">
        <v>18</v>
      </c>
      <c r="E463" s="34">
        <f>C463*E2</f>
        <v>2047.8764800000001</v>
      </c>
      <c r="F463" s="61">
        <f t="shared" si="35"/>
        <v>1740.6950080000001</v>
      </c>
    </row>
    <row r="464" spans="1:7" x14ac:dyDescent="0.25">
      <c r="A464" s="37">
        <v>4</v>
      </c>
      <c r="B464" s="29">
        <v>500</v>
      </c>
      <c r="C464" s="33">
        <f>431+5</f>
        <v>436</v>
      </c>
      <c r="D464" s="29" t="s">
        <v>18</v>
      </c>
      <c r="E464" s="34">
        <f>C464*E2</f>
        <v>2146.3320800000001</v>
      </c>
      <c r="F464" s="61">
        <f t="shared" si="35"/>
        <v>1824.3822680000001</v>
      </c>
    </row>
    <row r="465" spans="1:7" x14ac:dyDescent="0.25">
      <c r="A465" s="37">
        <v>5</v>
      </c>
      <c r="B465" s="29">
        <v>538</v>
      </c>
      <c r="C465" s="33">
        <f>457+5</f>
        <v>462</v>
      </c>
      <c r="D465" s="29" t="s">
        <v>48</v>
      </c>
      <c r="E465" s="34">
        <f>C465*E2</f>
        <v>2274.3243600000001</v>
      </c>
      <c r="F465" s="61">
        <f t="shared" si="35"/>
        <v>1933.175706</v>
      </c>
    </row>
    <row r="466" spans="1:7" x14ac:dyDescent="0.25">
      <c r="A466" s="37">
        <v>6</v>
      </c>
      <c r="B466" s="29">
        <v>582</v>
      </c>
      <c r="C466" s="33">
        <f>492+5</f>
        <v>497</v>
      </c>
      <c r="D466" s="29" t="s">
        <v>4</v>
      </c>
      <c r="E466" s="34">
        <f>C466*E2</f>
        <v>2446.6216600000002</v>
      </c>
      <c r="F466" s="61">
        <f t="shared" si="35"/>
        <v>2079.6284110000001</v>
      </c>
    </row>
    <row r="467" spans="1:7" x14ac:dyDescent="0.25">
      <c r="A467" s="37">
        <v>7</v>
      </c>
      <c r="B467" s="29">
        <v>619</v>
      </c>
      <c r="C467" s="33">
        <f>519+5</f>
        <v>524</v>
      </c>
      <c r="D467" s="29" t="s">
        <v>4</v>
      </c>
      <c r="E467" s="34">
        <f>C467*E2</f>
        <v>2579.5367200000001</v>
      </c>
      <c r="F467" s="61">
        <f t="shared" si="35"/>
        <v>2192.6062120000001</v>
      </c>
    </row>
    <row r="468" spans="1:7" x14ac:dyDescent="0.25">
      <c r="A468" s="37">
        <v>8</v>
      </c>
      <c r="B468" s="29">
        <v>668</v>
      </c>
      <c r="C468" s="33">
        <f>557+5</f>
        <v>562</v>
      </c>
      <c r="D468" s="29" t="s">
        <v>113</v>
      </c>
      <c r="E468" s="34">
        <f>C468*E2</f>
        <v>2766.6023600000003</v>
      </c>
      <c r="F468" s="61">
        <f t="shared" si="35"/>
        <v>2351.6120060000003</v>
      </c>
    </row>
    <row r="469" spans="1:7" x14ac:dyDescent="0.25">
      <c r="A469" s="37">
        <v>9</v>
      </c>
      <c r="B469" s="29">
        <v>712</v>
      </c>
      <c r="C469" s="33">
        <f>590+5</f>
        <v>595</v>
      </c>
      <c r="D469" s="29" t="s">
        <v>5</v>
      </c>
      <c r="E469" s="34">
        <f>C469*E2</f>
        <v>2929.0541000000003</v>
      </c>
      <c r="F469" s="61">
        <f t="shared" si="35"/>
        <v>2489.6959850000003</v>
      </c>
    </row>
    <row r="470" spans="1:7" x14ac:dyDescent="0.25">
      <c r="A470" s="37">
        <v>10</v>
      </c>
      <c r="B470" s="29">
        <v>763</v>
      </c>
      <c r="C470" s="33">
        <f>629+5</f>
        <v>634</v>
      </c>
      <c r="D470" s="29" t="s">
        <v>5</v>
      </c>
      <c r="E470" s="34">
        <f>C470*E2</f>
        <v>3121.0425200000004</v>
      </c>
      <c r="F470" s="61">
        <f t="shared" si="35"/>
        <v>2652.8861420000003</v>
      </c>
    </row>
    <row r="471" spans="1:7" x14ac:dyDescent="0.25">
      <c r="A471" s="37">
        <v>11</v>
      </c>
      <c r="B471" s="29">
        <v>821</v>
      </c>
      <c r="C471" s="33">
        <f>673+5</f>
        <v>678</v>
      </c>
      <c r="D471" s="29" t="s">
        <v>6</v>
      </c>
      <c r="E471" s="34">
        <f>C471*E2</f>
        <v>3337.6448400000004</v>
      </c>
      <c r="F471" s="61">
        <f t="shared" si="35"/>
        <v>2836.9981140000004</v>
      </c>
    </row>
    <row r="475" spans="1:7" ht="25.5" x14ac:dyDescent="0.25">
      <c r="A475" s="37" t="s">
        <v>53</v>
      </c>
      <c r="B475" s="29" t="s">
        <v>0</v>
      </c>
      <c r="C475" s="33" t="s">
        <v>1</v>
      </c>
      <c r="D475" s="29" t="s">
        <v>2</v>
      </c>
      <c r="E475" s="12" t="s">
        <v>7</v>
      </c>
      <c r="F475" s="62" t="s">
        <v>150</v>
      </c>
      <c r="G475" s="40" t="s">
        <v>137</v>
      </c>
    </row>
    <row r="476" spans="1:7" x14ac:dyDescent="0.25">
      <c r="A476" s="37">
        <v>1</v>
      </c>
      <c r="B476" s="29">
        <v>620</v>
      </c>
      <c r="C476" s="33">
        <f>520+5</f>
        <v>525</v>
      </c>
      <c r="D476" s="29" t="s">
        <v>18</v>
      </c>
      <c r="E476" s="34">
        <f>C476*E2</f>
        <v>2584.4595000000004</v>
      </c>
      <c r="F476" s="61">
        <f>E476*85%</f>
        <v>2196.7905750000004</v>
      </c>
    </row>
    <row r="477" spans="1:7" x14ac:dyDescent="0.25">
      <c r="A477" s="37">
        <v>2</v>
      </c>
      <c r="B477" s="29">
        <v>712</v>
      </c>
      <c r="C477" s="33">
        <f>590+5</f>
        <v>595</v>
      </c>
      <c r="D477" s="29" t="s">
        <v>48</v>
      </c>
      <c r="E477" s="34">
        <f>C477*E2</f>
        <v>2929.0541000000003</v>
      </c>
      <c r="F477" s="61">
        <f t="shared" ref="F477:F483" si="36">E477*85%</f>
        <v>2489.6959850000003</v>
      </c>
    </row>
    <row r="478" spans="1:7" x14ac:dyDescent="0.25">
      <c r="A478" s="37">
        <v>3</v>
      </c>
      <c r="B478" s="29">
        <v>757</v>
      </c>
      <c r="C478" s="33">
        <f>624+5</f>
        <v>629</v>
      </c>
      <c r="D478" s="29" t="s">
        <v>48</v>
      </c>
      <c r="E478" s="34">
        <f>C478*E2</f>
        <v>3096.4286200000001</v>
      </c>
      <c r="F478" s="61">
        <f t="shared" si="36"/>
        <v>2631.9643270000001</v>
      </c>
    </row>
    <row r="479" spans="1:7" x14ac:dyDescent="0.25">
      <c r="A479" s="37">
        <v>4</v>
      </c>
      <c r="B479" s="29">
        <v>815</v>
      </c>
      <c r="C479" s="33">
        <f>668+5</f>
        <v>673</v>
      </c>
      <c r="D479" s="29" t="s">
        <v>48</v>
      </c>
      <c r="E479" s="34">
        <f>C479*E2</f>
        <v>3313.0309400000001</v>
      </c>
      <c r="F479" s="61">
        <f t="shared" si="36"/>
        <v>2816.0762989999998</v>
      </c>
    </row>
    <row r="480" spans="1:7" x14ac:dyDescent="0.25">
      <c r="A480" s="37">
        <v>5</v>
      </c>
      <c r="B480" s="29">
        <v>876</v>
      </c>
      <c r="C480" s="33">
        <f>715+5</f>
        <v>720</v>
      </c>
      <c r="D480" s="29" t="s">
        <v>48</v>
      </c>
      <c r="E480" s="34">
        <f>C480*E2</f>
        <v>3544.4016000000001</v>
      </c>
      <c r="F480" s="61">
        <f t="shared" si="36"/>
        <v>3012.74136</v>
      </c>
    </row>
    <row r="481" spans="1:7" x14ac:dyDescent="0.25">
      <c r="A481" s="37">
        <v>6</v>
      </c>
      <c r="B481" s="29">
        <v>939</v>
      </c>
      <c r="C481" s="33">
        <f>763+5</f>
        <v>768</v>
      </c>
      <c r="D481" s="29" t="s">
        <v>4</v>
      </c>
      <c r="E481" s="34">
        <f>C481*E2</f>
        <v>3780.6950400000005</v>
      </c>
      <c r="F481" s="61">
        <f t="shared" si="36"/>
        <v>3213.5907840000004</v>
      </c>
    </row>
    <row r="482" spans="1:7" x14ac:dyDescent="0.25">
      <c r="A482" s="37">
        <v>7</v>
      </c>
      <c r="B482" s="29">
        <v>995</v>
      </c>
      <c r="C482" s="33">
        <f>806+5</f>
        <v>811</v>
      </c>
      <c r="D482" s="29" t="s">
        <v>4</v>
      </c>
      <c r="E482" s="34">
        <f>C482*E2</f>
        <v>3992.3745800000002</v>
      </c>
      <c r="F482" s="61">
        <f t="shared" si="36"/>
        <v>3393.5183929999998</v>
      </c>
    </row>
    <row r="483" spans="1:7" x14ac:dyDescent="0.25">
      <c r="A483" s="37">
        <v>8</v>
      </c>
      <c r="B483" s="29">
        <v>1015</v>
      </c>
      <c r="C483" s="33">
        <f>821+5</f>
        <v>826</v>
      </c>
      <c r="D483" s="29" t="s">
        <v>6</v>
      </c>
      <c r="E483" s="34">
        <f>C483*E2</f>
        <v>4066.2162800000001</v>
      </c>
      <c r="F483" s="61">
        <f t="shared" si="36"/>
        <v>3456.2838379999998</v>
      </c>
    </row>
    <row r="487" spans="1:7" ht="25.5" x14ac:dyDescent="0.25">
      <c r="A487" s="37" t="s">
        <v>53</v>
      </c>
      <c r="B487" s="29" t="s">
        <v>0</v>
      </c>
      <c r="C487" s="33" t="s">
        <v>1</v>
      </c>
      <c r="D487" s="29" t="s">
        <v>2</v>
      </c>
      <c r="E487" s="12" t="s">
        <v>7</v>
      </c>
      <c r="F487" s="62" t="s">
        <v>150</v>
      </c>
      <c r="G487" s="40" t="s">
        <v>138</v>
      </c>
    </row>
    <row r="488" spans="1:7" x14ac:dyDescent="0.25">
      <c r="A488" s="37">
        <v>1</v>
      </c>
      <c r="B488" s="29">
        <v>444</v>
      </c>
      <c r="C488" s="33">
        <f>390+5</f>
        <v>395</v>
      </c>
      <c r="D488" s="29" t="s">
        <v>3</v>
      </c>
      <c r="E488" s="34">
        <f>C488*E2</f>
        <v>1944.4981000000002</v>
      </c>
      <c r="F488" s="61">
        <f>E488*85%</f>
        <v>1652.8233850000001</v>
      </c>
      <c r="G488" s="40" t="s">
        <v>139</v>
      </c>
    </row>
    <row r="489" spans="1:7" x14ac:dyDescent="0.25">
      <c r="A489" s="37">
        <v>2</v>
      </c>
      <c r="B489" s="29">
        <v>484</v>
      </c>
      <c r="C489" s="33">
        <f>419+5</f>
        <v>424</v>
      </c>
      <c r="D489" s="29" t="s">
        <v>82</v>
      </c>
      <c r="E489" s="34">
        <f>C489*E2</f>
        <v>2087.2587200000003</v>
      </c>
      <c r="F489" s="61">
        <f t="shared" ref="F489:F498" si="37">E489*85%</f>
        <v>1774.1699120000001</v>
      </c>
      <c r="G489" s="40" t="s">
        <v>140</v>
      </c>
    </row>
    <row r="490" spans="1:7" x14ac:dyDescent="0.25">
      <c r="A490" s="37">
        <v>3</v>
      </c>
      <c r="B490" s="29">
        <v>514</v>
      </c>
      <c r="C490" s="33">
        <f>442+5</f>
        <v>447</v>
      </c>
      <c r="D490" s="29" t="s">
        <v>18</v>
      </c>
      <c r="E490" s="34">
        <f>C490*E2</f>
        <v>2200.4826600000001</v>
      </c>
      <c r="F490" s="61">
        <f t="shared" si="37"/>
        <v>1870.410261</v>
      </c>
      <c r="G490" s="40" t="s">
        <v>141</v>
      </c>
    </row>
    <row r="491" spans="1:7" x14ac:dyDescent="0.25">
      <c r="A491" s="37">
        <v>4</v>
      </c>
      <c r="B491" s="29">
        <v>544</v>
      </c>
      <c r="C491" s="33">
        <f>463+5</f>
        <v>468</v>
      </c>
      <c r="D491" s="29" t="s">
        <v>18</v>
      </c>
      <c r="E491" s="34">
        <f>C491*E2</f>
        <v>2303.8610400000002</v>
      </c>
      <c r="F491" s="61">
        <f t="shared" si="37"/>
        <v>1958.2818840000002</v>
      </c>
    </row>
    <row r="492" spans="1:7" x14ac:dyDescent="0.25">
      <c r="A492" s="37">
        <v>5</v>
      </c>
      <c r="B492" s="29">
        <v>576</v>
      </c>
      <c r="C492" s="33">
        <f>486+5</f>
        <v>491</v>
      </c>
      <c r="D492" s="29" t="s">
        <v>48</v>
      </c>
      <c r="E492" s="34">
        <f>C492*E2</f>
        <v>2417.0849800000001</v>
      </c>
      <c r="F492" s="61">
        <f t="shared" si="37"/>
        <v>2054.5222330000001</v>
      </c>
    </row>
    <row r="493" spans="1:7" x14ac:dyDescent="0.25">
      <c r="A493" s="37">
        <v>6</v>
      </c>
      <c r="B493" s="29">
        <v>611</v>
      </c>
      <c r="C493" s="33">
        <f>513+5</f>
        <v>518</v>
      </c>
      <c r="D493" s="29" t="s">
        <v>4</v>
      </c>
      <c r="E493" s="34">
        <f>C493*E2</f>
        <v>2550.0000400000004</v>
      </c>
      <c r="F493" s="61">
        <f t="shared" si="37"/>
        <v>2167.5000340000001</v>
      </c>
    </row>
    <row r="494" spans="1:7" x14ac:dyDescent="0.25">
      <c r="A494" s="37">
        <v>7</v>
      </c>
      <c r="B494" s="29">
        <v>653</v>
      </c>
      <c r="C494" s="33">
        <f>545+5</f>
        <v>550</v>
      </c>
      <c r="D494" s="29" t="s">
        <v>4</v>
      </c>
      <c r="E494" s="34">
        <f>C494*E2</f>
        <v>2707.529</v>
      </c>
      <c r="F494" s="61">
        <f t="shared" si="37"/>
        <v>2301.3996499999998</v>
      </c>
    </row>
    <row r="495" spans="1:7" x14ac:dyDescent="0.25">
      <c r="A495" s="37">
        <v>8</v>
      </c>
      <c r="B495" s="29">
        <v>693</v>
      </c>
      <c r="C495" s="33">
        <f>575+5</f>
        <v>580</v>
      </c>
      <c r="D495" s="29" t="s">
        <v>4</v>
      </c>
      <c r="E495" s="34">
        <f>C495*E2</f>
        <v>2855.2124000000003</v>
      </c>
      <c r="F495" s="61">
        <f t="shared" si="37"/>
        <v>2426.9305400000003</v>
      </c>
    </row>
    <row r="496" spans="1:7" x14ac:dyDescent="0.25">
      <c r="A496" s="37">
        <v>9</v>
      </c>
      <c r="B496" s="29">
        <v>732</v>
      </c>
      <c r="C496" s="33">
        <f>605+5</f>
        <v>610</v>
      </c>
      <c r="D496" s="29" t="s">
        <v>5</v>
      </c>
      <c r="E496" s="34">
        <f>C496*E2</f>
        <v>3002.8958000000002</v>
      </c>
      <c r="F496" s="61">
        <f t="shared" si="37"/>
        <v>2552.4614300000003</v>
      </c>
    </row>
    <row r="497" spans="1:7" x14ac:dyDescent="0.25">
      <c r="A497" s="37">
        <v>10</v>
      </c>
      <c r="B497" s="29">
        <v>778</v>
      </c>
      <c r="C497" s="33">
        <f>640+5</f>
        <v>645</v>
      </c>
      <c r="D497" s="29" t="s">
        <v>5</v>
      </c>
      <c r="E497" s="34">
        <f>C497*E2</f>
        <v>3175.1931000000004</v>
      </c>
      <c r="F497" s="61">
        <f t="shared" si="37"/>
        <v>2698.9141350000004</v>
      </c>
    </row>
    <row r="498" spans="1:7" x14ac:dyDescent="0.25">
      <c r="A498" s="37">
        <v>11</v>
      </c>
      <c r="B498" s="29">
        <v>821</v>
      </c>
      <c r="C498" s="33">
        <f>673+5</f>
        <v>678</v>
      </c>
      <c r="D498" s="29" t="s">
        <v>6</v>
      </c>
      <c r="E498" s="34">
        <f>C498*E2</f>
        <v>3337.6448400000004</v>
      </c>
      <c r="F498" s="61">
        <f t="shared" si="37"/>
        <v>2836.9981140000004</v>
      </c>
    </row>
    <row r="502" spans="1:7" ht="25.5" x14ac:dyDescent="0.25">
      <c r="A502" s="37" t="s">
        <v>53</v>
      </c>
      <c r="B502" s="29" t="s">
        <v>0</v>
      </c>
      <c r="C502" s="33" t="s">
        <v>1</v>
      </c>
      <c r="D502" s="29" t="s">
        <v>2</v>
      </c>
      <c r="E502" s="12" t="s">
        <v>7</v>
      </c>
      <c r="F502" s="62" t="s">
        <v>150</v>
      </c>
      <c r="G502" s="40" t="s">
        <v>138</v>
      </c>
    </row>
    <row r="503" spans="1:7" x14ac:dyDescent="0.25">
      <c r="A503" s="37">
        <v>1</v>
      </c>
      <c r="B503" s="29">
        <v>518</v>
      </c>
      <c r="C503" s="33">
        <f>445+5</f>
        <v>450</v>
      </c>
      <c r="D503" s="29" t="s">
        <v>18</v>
      </c>
      <c r="E503" s="34">
        <f>C503*E2</f>
        <v>2215.2510000000002</v>
      </c>
      <c r="F503" s="61">
        <f>E503*85%</f>
        <v>1882.9633500000002</v>
      </c>
      <c r="G503" s="40" t="s">
        <v>139</v>
      </c>
    </row>
    <row r="504" spans="1:7" x14ac:dyDescent="0.25">
      <c r="A504" s="37">
        <v>2</v>
      </c>
      <c r="B504" s="29">
        <v>558</v>
      </c>
      <c r="C504" s="33">
        <f>473+5</f>
        <v>478</v>
      </c>
      <c r="D504" s="29" t="s">
        <v>18</v>
      </c>
      <c r="E504" s="34">
        <f>C504*E2</f>
        <v>2353.0888400000003</v>
      </c>
      <c r="F504" s="61">
        <f t="shared" ref="F504:F512" si="38">E504*85%</f>
        <v>2000.1255140000003</v>
      </c>
      <c r="G504" s="40" t="s">
        <v>140</v>
      </c>
    </row>
    <row r="505" spans="1:7" x14ac:dyDescent="0.25">
      <c r="A505" s="37">
        <v>3</v>
      </c>
      <c r="B505" s="29">
        <v>595</v>
      </c>
      <c r="C505" s="33">
        <f>501+5</f>
        <v>506</v>
      </c>
      <c r="D505" s="29" t="s">
        <v>18</v>
      </c>
      <c r="E505" s="34">
        <f>C505*E2</f>
        <v>2490.92668</v>
      </c>
      <c r="F505" s="61">
        <f t="shared" si="38"/>
        <v>2117.2876780000001</v>
      </c>
      <c r="G505" s="40" t="s">
        <v>142</v>
      </c>
    </row>
    <row r="506" spans="1:7" x14ac:dyDescent="0.25">
      <c r="A506" s="37">
        <v>4</v>
      </c>
      <c r="B506" s="29">
        <v>631</v>
      </c>
      <c r="C506" s="33">
        <f>529+5</f>
        <v>534</v>
      </c>
      <c r="D506" s="29" t="s">
        <v>18</v>
      </c>
      <c r="E506" s="34">
        <f>C506*E2</f>
        <v>2628.7645200000002</v>
      </c>
      <c r="F506" s="61">
        <f t="shared" si="38"/>
        <v>2234.449842</v>
      </c>
    </row>
    <row r="507" spans="1:7" x14ac:dyDescent="0.25">
      <c r="A507" s="37">
        <v>5</v>
      </c>
      <c r="B507" s="29">
        <v>669</v>
      </c>
      <c r="C507" s="33">
        <f>558+5</f>
        <v>563</v>
      </c>
      <c r="D507" s="29" t="s">
        <v>48</v>
      </c>
      <c r="E507" s="34">
        <f>C507*E2</f>
        <v>2771.5251400000002</v>
      </c>
      <c r="F507" s="61">
        <f t="shared" si="38"/>
        <v>2355.7963690000001</v>
      </c>
    </row>
    <row r="508" spans="1:7" x14ac:dyDescent="0.25">
      <c r="A508" s="37">
        <v>6</v>
      </c>
      <c r="B508" s="29">
        <v>709</v>
      </c>
      <c r="C508" s="33">
        <f>588+5</f>
        <v>593</v>
      </c>
      <c r="D508" s="29" t="s">
        <v>4</v>
      </c>
      <c r="E508" s="34">
        <f>C508*E2</f>
        <v>2919.2085400000001</v>
      </c>
      <c r="F508" s="61">
        <f t="shared" si="38"/>
        <v>2481.3272590000001</v>
      </c>
    </row>
    <row r="509" spans="1:7" x14ac:dyDescent="0.25">
      <c r="A509" s="37">
        <v>7</v>
      </c>
      <c r="B509" s="29">
        <v>750</v>
      </c>
      <c r="C509" s="33">
        <f>619+5</f>
        <v>624</v>
      </c>
      <c r="D509" s="29" t="s">
        <v>4</v>
      </c>
      <c r="E509" s="34">
        <f>C509*E2</f>
        <v>3071.8147200000003</v>
      </c>
      <c r="F509" s="61">
        <f t="shared" si="38"/>
        <v>2611.042512</v>
      </c>
    </row>
    <row r="510" spans="1:7" x14ac:dyDescent="0.25">
      <c r="A510" s="37">
        <v>8</v>
      </c>
      <c r="B510" s="29">
        <v>792</v>
      </c>
      <c r="C510" s="33">
        <f>651+5</f>
        <v>656</v>
      </c>
      <c r="D510" s="29" t="s">
        <v>5</v>
      </c>
      <c r="E510" s="34">
        <f>C510*E2</f>
        <v>3229.3436800000004</v>
      </c>
      <c r="F510" s="61">
        <f t="shared" si="38"/>
        <v>2744.9421280000001</v>
      </c>
    </row>
    <row r="511" spans="1:7" x14ac:dyDescent="0.25">
      <c r="A511" s="37">
        <v>9</v>
      </c>
      <c r="B511" s="29">
        <v>836</v>
      </c>
      <c r="C511" s="33">
        <f>685+5</f>
        <v>690</v>
      </c>
      <c r="D511" s="29" t="s">
        <v>5</v>
      </c>
      <c r="E511" s="34">
        <f>C511*E2</f>
        <v>3396.7182000000003</v>
      </c>
      <c r="F511" s="61">
        <f t="shared" si="38"/>
        <v>2887.21047</v>
      </c>
    </row>
    <row r="512" spans="1:7" x14ac:dyDescent="0.25">
      <c r="A512" s="37">
        <v>10</v>
      </c>
      <c r="B512" s="29">
        <v>886</v>
      </c>
      <c r="C512" s="33">
        <f>722+5</f>
        <v>727</v>
      </c>
      <c r="D512" s="29" t="s">
        <v>6</v>
      </c>
      <c r="E512" s="34">
        <f>C512*E2</f>
        <v>3578.8610600000002</v>
      </c>
      <c r="F512" s="61">
        <f t="shared" si="38"/>
        <v>3042.0319010000003</v>
      </c>
    </row>
    <row r="516" spans="1:7" ht="25.5" x14ac:dyDescent="0.25">
      <c r="A516" s="37" t="s">
        <v>53</v>
      </c>
      <c r="B516" s="29" t="s">
        <v>0</v>
      </c>
      <c r="C516" s="33" t="s">
        <v>1</v>
      </c>
      <c r="D516" s="29" t="s">
        <v>2</v>
      </c>
      <c r="E516" s="12" t="s">
        <v>7</v>
      </c>
      <c r="F516" s="62" t="s">
        <v>150</v>
      </c>
      <c r="G516" s="40" t="s">
        <v>145</v>
      </c>
    </row>
    <row r="517" spans="1:7" x14ac:dyDescent="0.25">
      <c r="A517" s="37">
        <v>1</v>
      </c>
      <c r="B517" s="29">
        <v>419</v>
      </c>
      <c r="C517" s="33">
        <f>372+5</f>
        <v>377</v>
      </c>
      <c r="D517" s="29" t="s">
        <v>3</v>
      </c>
      <c r="E517" s="34">
        <f>C517*E2</f>
        <v>1855.8880600000002</v>
      </c>
      <c r="F517" s="61">
        <f>E517*85%</f>
        <v>1577.5048510000001</v>
      </c>
    </row>
    <row r="518" spans="1:7" x14ac:dyDescent="0.25">
      <c r="A518" s="37">
        <v>2</v>
      </c>
      <c r="B518" s="29">
        <v>485</v>
      </c>
      <c r="C518" s="33">
        <f>420+5</f>
        <v>425</v>
      </c>
      <c r="D518" s="29" t="s">
        <v>3</v>
      </c>
      <c r="E518" s="34">
        <f>C518*E2</f>
        <v>2092.1815000000001</v>
      </c>
      <c r="F518" s="61">
        <f t="shared" ref="F518:F527" si="39">E518*85%</f>
        <v>1778.3542750000001</v>
      </c>
    </row>
    <row r="519" spans="1:7" x14ac:dyDescent="0.25">
      <c r="A519" s="37">
        <v>3</v>
      </c>
      <c r="B519" s="29">
        <v>519</v>
      </c>
      <c r="C519" s="33">
        <f>446+5</f>
        <v>451</v>
      </c>
      <c r="D519" s="29" t="s">
        <v>143</v>
      </c>
      <c r="E519" s="34">
        <f>C519*E2</f>
        <v>2220.1737800000001</v>
      </c>
      <c r="F519" s="61">
        <f t="shared" si="39"/>
        <v>1887.1477130000001</v>
      </c>
    </row>
    <row r="520" spans="1:7" x14ac:dyDescent="0.25">
      <c r="A520" s="37">
        <v>4</v>
      </c>
      <c r="B520" s="29">
        <v>570</v>
      </c>
      <c r="C520" s="33">
        <f>482+5</f>
        <v>487</v>
      </c>
      <c r="D520" s="29" t="s">
        <v>144</v>
      </c>
      <c r="E520" s="34">
        <f>C520*E2</f>
        <v>2397.3938600000001</v>
      </c>
      <c r="F520" s="61">
        <f t="shared" si="39"/>
        <v>2037.7847810000001</v>
      </c>
    </row>
    <row r="521" spans="1:7" x14ac:dyDescent="0.25">
      <c r="A521" s="37">
        <v>5</v>
      </c>
      <c r="B521" s="29">
        <v>623</v>
      </c>
      <c r="C521" s="33">
        <f>523+5</f>
        <v>528</v>
      </c>
      <c r="D521" s="29" t="s">
        <v>144</v>
      </c>
      <c r="E521" s="34">
        <f>C521*E2</f>
        <v>2599.22784</v>
      </c>
      <c r="F521" s="61">
        <f t="shared" si="39"/>
        <v>2209.343664</v>
      </c>
    </row>
    <row r="522" spans="1:7" x14ac:dyDescent="0.25">
      <c r="A522" s="37">
        <v>6</v>
      </c>
      <c r="B522" s="29">
        <v>665</v>
      </c>
      <c r="C522" s="33">
        <f>555+5</f>
        <v>560</v>
      </c>
      <c r="D522" s="29" t="s">
        <v>144</v>
      </c>
      <c r="E522" s="34">
        <f>C522*E2</f>
        <v>2756.7568000000001</v>
      </c>
      <c r="F522" s="61">
        <f t="shared" si="39"/>
        <v>2343.2432800000001</v>
      </c>
    </row>
    <row r="523" spans="1:7" x14ac:dyDescent="0.25">
      <c r="A523" s="37">
        <v>7</v>
      </c>
      <c r="B523" s="29">
        <v>713</v>
      </c>
      <c r="C523" s="33">
        <f>591+5</f>
        <v>596</v>
      </c>
      <c r="D523" s="29" t="s">
        <v>144</v>
      </c>
      <c r="E523" s="34">
        <f>C523*E2</f>
        <v>2933.9768800000002</v>
      </c>
      <c r="F523" s="61">
        <f t="shared" si="39"/>
        <v>2493.8803480000001</v>
      </c>
    </row>
    <row r="524" spans="1:7" x14ac:dyDescent="0.25">
      <c r="A524" s="37">
        <v>8</v>
      </c>
      <c r="B524" s="29">
        <v>762</v>
      </c>
      <c r="C524" s="33">
        <f>628+5</f>
        <v>633</v>
      </c>
      <c r="D524" s="29" t="s">
        <v>144</v>
      </c>
      <c r="E524" s="34">
        <f>C524*E2</f>
        <v>3116.1197400000001</v>
      </c>
      <c r="F524" s="61">
        <f t="shared" si="39"/>
        <v>2648.701779</v>
      </c>
    </row>
    <row r="525" spans="1:7" x14ac:dyDescent="0.25">
      <c r="A525" s="37">
        <v>9</v>
      </c>
      <c r="B525" s="29">
        <v>782</v>
      </c>
      <c r="C525" s="33">
        <f>644+5</f>
        <v>649</v>
      </c>
      <c r="D525" s="29" t="s">
        <v>144</v>
      </c>
      <c r="E525" s="34">
        <f>C525*E2</f>
        <v>3194.8842200000004</v>
      </c>
      <c r="F525" s="61">
        <f t="shared" si="39"/>
        <v>2715.6515870000003</v>
      </c>
    </row>
    <row r="526" spans="1:7" x14ac:dyDescent="0.25">
      <c r="A526" s="37">
        <v>10</v>
      </c>
      <c r="B526" s="29">
        <v>832</v>
      </c>
      <c r="C526" s="33">
        <f>682+5</f>
        <v>687</v>
      </c>
      <c r="D526" s="29" t="s">
        <v>144</v>
      </c>
      <c r="E526" s="34">
        <f>C526*E2</f>
        <v>3381.9498600000002</v>
      </c>
      <c r="F526" s="61">
        <f t="shared" si="39"/>
        <v>2874.657381</v>
      </c>
    </row>
    <row r="527" spans="1:7" x14ac:dyDescent="0.25">
      <c r="A527" s="37">
        <v>11</v>
      </c>
      <c r="B527" s="29">
        <v>862</v>
      </c>
      <c r="C527" s="33">
        <f>705+5</f>
        <v>710</v>
      </c>
      <c r="D527" s="29" t="s">
        <v>6</v>
      </c>
      <c r="E527" s="34">
        <f>C527*E2</f>
        <v>3495.1738000000005</v>
      </c>
      <c r="F527" s="61">
        <f t="shared" si="39"/>
        <v>2970.8977300000001</v>
      </c>
    </row>
    <row r="531" spans="1:7" ht="25.5" x14ac:dyDescent="0.25">
      <c r="A531" s="37" t="s">
        <v>53</v>
      </c>
      <c r="B531" s="29" t="s">
        <v>0</v>
      </c>
      <c r="C531" s="33" t="s">
        <v>1</v>
      </c>
      <c r="D531" s="29" t="s">
        <v>2</v>
      </c>
      <c r="E531" s="12" t="s">
        <v>7</v>
      </c>
      <c r="F531" s="62" t="s">
        <v>150</v>
      </c>
      <c r="G531" s="40" t="s">
        <v>147</v>
      </c>
    </row>
    <row r="532" spans="1:7" x14ac:dyDescent="0.25">
      <c r="A532" s="37">
        <v>1</v>
      </c>
      <c r="B532" s="29">
        <v>762</v>
      </c>
      <c r="C532" s="33">
        <f>628+5</f>
        <v>633</v>
      </c>
      <c r="D532" s="29" t="s">
        <v>144</v>
      </c>
      <c r="E532" s="34">
        <f>C532*E2</f>
        <v>3116.1197400000001</v>
      </c>
      <c r="F532" s="61">
        <f>E532*85%</f>
        <v>2648.701779</v>
      </c>
    </row>
    <row r="533" spans="1:7" x14ac:dyDescent="0.25">
      <c r="A533" s="37">
        <v>2</v>
      </c>
      <c r="B533" s="29">
        <v>813</v>
      </c>
      <c r="C533" s="33">
        <f>667+5</f>
        <v>672</v>
      </c>
      <c r="D533" s="29" t="s">
        <v>144</v>
      </c>
      <c r="E533" s="34">
        <f>C533*E2</f>
        <v>3308.1081600000002</v>
      </c>
      <c r="F533" s="61">
        <f t="shared" ref="F533:F537" si="40">E533*85%</f>
        <v>2811.891936</v>
      </c>
    </row>
    <row r="534" spans="1:7" x14ac:dyDescent="0.25">
      <c r="A534" s="37">
        <v>3</v>
      </c>
      <c r="B534" s="29">
        <v>862</v>
      </c>
      <c r="C534" s="33">
        <f>705+5</f>
        <v>710</v>
      </c>
      <c r="D534" s="29" t="s">
        <v>144</v>
      </c>
      <c r="E534" s="34">
        <f>C534*E2</f>
        <v>3495.1738000000005</v>
      </c>
      <c r="F534" s="61">
        <f t="shared" si="40"/>
        <v>2970.8977300000001</v>
      </c>
    </row>
    <row r="535" spans="1:7" x14ac:dyDescent="0.25">
      <c r="A535" s="37">
        <v>4</v>
      </c>
      <c r="B535" s="29">
        <v>912</v>
      </c>
      <c r="C535" s="33">
        <f>743+5</f>
        <v>748</v>
      </c>
      <c r="D535" s="29" t="s">
        <v>146</v>
      </c>
      <c r="E535" s="34">
        <f>C535*E2</f>
        <v>3682.2394400000003</v>
      </c>
      <c r="F535" s="61">
        <f t="shared" si="40"/>
        <v>3129.9035240000003</v>
      </c>
    </row>
    <row r="536" spans="1:7" x14ac:dyDescent="0.25">
      <c r="A536" s="37">
        <v>5</v>
      </c>
      <c r="B536" s="29">
        <v>977</v>
      </c>
      <c r="C536" s="33">
        <f>792+5</f>
        <v>797</v>
      </c>
      <c r="D536" s="29" t="s">
        <v>146</v>
      </c>
      <c r="E536" s="34">
        <f>C536*E2</f>
        <v>3923.4556600000001</v>
      </c>
      <c r="F536" s="61">
        <f t="shared" si="40"/>
        <v>3334.9373110000001</v>
      </c>
    </row>
    <row r="537" spans="1:7" x14ac:dyDescent="0.25">
      <c r="A537" s="37">
        <v>6</v>
      </c>
      <c r="B537" s="29">
        <v>1027</v>
      </c>
      <c r="C537" s="33">
        <f>830+5</f>
        <v>835</v>
      </c>
      <c r="D537" s="29" t="s">
        <v>6</v>
      </c>
      <c r="E537" s="34">
        <f>C537*E2</f>
        <v>4110.5213000000003</v>
      </c>
      <c r="F537" s="61">
        <f t="shared" si="40"/>
        <v>3493.9431050000003</v>
      </c>
    </row>
    <row r="541" spans="1:7" ht="25.5" x14ac:dyDescent="0.25">
      <c r="A541" s="37" t="s">
        <v>53</v>
      </c>
      <c r="B541" s="29" t="s">
        <v>0</v>
      </c>
      <c r="C541" s="33" t="s">
        <v>1</v>
      </c>
      <c r="D541" s="29" t="s">
        <v>2</v>
      </c>
      <c r="E541" s="12" t="s">
        <v>7</v>
      </c>
      <c r="F541" s="62" t="s">
        <v>150</v>
      </c>
      <c r="G541" s="40" t="s">
        <v>148</v>
      </c>
    </row>
    <row r="542" spans="1:7" x14ac:dyDescent="0.25">
      <c r="A542" s="37">
        <v>1</v>
      </c>
      <c r="B542" s="29">
        <v>694</v>
      </c>
      <c r="C542" s="33">
        <f>576+5</f>
        <v>581</v>
      </c>
      <c r="D542" s="29" t="s">
        <v>18</v>
      </c>
      <c r="E542" s="34">
        <f>C542*E2</f>
        <v>2860.1351800000002</v>
      </c>
      <c r="F542" s="61">
        <f>E542*85%</f>
        <v>2431.1149030000001</v>
      </c>
    </row>
    <row r="543" spans="1:7" x14ac:dyDescent="0.25">
      <c r="A543" s="37">
        <v>2</v>
      </c>
      <c r="B543" s="29">
        <v>743</v>
      </c>
      <c r="C543" s="33">
        <f>614+5</f>
        <v>619</v>
      </c>
      <c r="D543" s="29" t="s">
        <v>48</v>
      </c>
      <c r="E543" s="34">
        <f>C543*E2</f>
        <v>3047.20082</v>
      </c>
      <c r="F543" s="61">
        <f t="shared" ref="F543:F549" si="41">E543*85%</f>
        <v>2590.1206969999998</v>
      </c>
    </row>
    <row r="544" spans="1:7" x14ac:dyDescent="0.25">
      <c r="A544" s="37">
        <v>3</v>
      </c>
      <c r="B544" s="29">
        <v>782</v>
      </c>
      <c r="C544" s="33">
        <f>644+5</f>
        <v>649</v>
      </c>
      <c r="D544" s="29" t="s">
        <v>48</v>
      </c>
      <c r="E544" s="34">
        <f>C544*E2</f>
        <v>3194.8842200000004</v>
      </c>
      <c r="F544" s="61">
        <f t="shared" si="41"/>
        <v>2715.6515870000003</v>
      </c>
    </row>
    <row r="545" spans="1:6" x14ac:dyDescent="0.25">
      <c r="A545" s="37">
        <v>4</v>
      </c>
      <c r="B545" s="29">
        <v>842</v>
      </c>
      <c r="C545" s="33">
        <f>689+5</f>
        <v>694</v>
      </c>
      <c r="D545" s="29" t="s">
        <v>48</v>
      </c>
      <c r="E545" s="34">
        <f>C545*E2</f>
        <v>3416.4093200000002</v>
      </c>
      <c r="F545" s="61">
        <f t="shared" si="41"/>
        <v>2903.9479220000003</v>
      </c>
    </row>
    <row r="546" spans="1:6" x14ac:dyDescent="0.25">
      <c r="A546" s="37">
        <v>5</v>
      </c>
      <c r="B546" s="29">
        <v>912</v>
      </c>
      <c r="C546" s="33">
        <f>743+5</f>
        <v>748</v>
      </c>
      <c r="D546" s="29" t="s">
        <v>113</v>
      </c>
      <c r="E546" s="34">
        <f>C546*E2</f>
        <v>3682.2394400000003</v>
      </c>
      <c r="F546" s="61">
        <f t="shared" si="41"/>
        <v>3129.9035240000003</v>
      </c>
    </row>
    <row r="547" spans="1:6" x14ac:dyDescent="0.25">
      <c r="A547" s="37">
        <v>6</v>
      </c>
      <c r="B547" s="29">
        <v>977</v>
      </c>
      <c r="C547" s="33">
        <f>792+5</f>
        <v>797</v>
      </c>
      <c r="D547" s="29" t="s">
        <v>113</v>
      </c>
      <c r="E547" s="34">
        <f>C547*E2</f>
        <v>3923.4556600000001</v>
      </c>
      <c r="F547" s="61">
        <f t="shared" si="41"/>
        <v>3334.9373110000001</v>
      </c>
    </row>
    <row r="548" spans="1:6" x14ac:dyDescent="0.25">
      <c r="A548" s="37">
        <v>7</v>
      </c>
      <c r="B548" s="29">
        <v>1027</v>
      </c>
      <c r="C548" s="33">
        <f>830+5</f>
        <v>835</v>
      </c>
      <c r="D548" s="29" t="s">
        <v>5</v>
      </c>
      <c r="E548" s="34">
        <f>C548*E2</f>
        <v>4110.5213000000003</v>
      </c>
      <c r="F548" s="61">
        <f t="shared" si="41"/>
        <v>3493.9431050000003</v>
      </c>
    </row>
    <row r="549" spans="1:6" x14ac:dyDescent="0.25">
      <c r="A549" s="37">
        <v>8</v>
      </c>
      <c r="B549" s="29" t="s">
        <v>91</v>
      </c>
      <c r="C549" s="33">
        <f>890+5</f>
        <v>895</v>
      </c>
      <c r="D549" s="29" t="s">
        <v>6</v>
      </c>
      <c r="E549" s="34">
        <f>C549*E2</f>
        <v>4405.8881000000001</v>
      </c>
      <c r="F549" s="61">
        <f t="shared" si="41"/>
        <v>3745.0048849999998</v>
      </c>
    </row>
  </sheetData>
  <sheetProtection algorithmName="SHA-512" hashValue="hh3SmJcz6Lfi3QUnoouDi49Zn4Ga7xQ9XKXUlLQcMH51U/9pVGjHg6lGPX6ucrVeOdZks6SYrkNcD5oeni7smw==" saltValue="rLL4dAfM2bEj40TcK8sqcQ==" spinCount="100000" sheet="1" objects="1" scenarios="1" selectLockedCells="1" selectUnlockedCells="1"/>
  <mergeCells count="5">
    <mergeCell ref="G33:I33"/>
    <mergeCell ref="A1:D1"/>
    <mergeCell ref="E1:G1"/>
    <mergeCell ref="A2:D2"/>
    <mergeCell ref="G19:I19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 Simulateur de paie titulaire</vt:lpstr>
      <vt:lpstr>Simulateur de paie contractuel</vt:lpstr>
      <vt:lpstr>Catégorie C</vt:lpstr>
      <vt:lpstr>Catégorie B</vt:lpstr>
      <vt:lpstr>Catégorie A</vt:lpstr>
      <vt:lpstr>'Catégorie C'!OLE_LINK2</vt:lpstr>
    </vt:vector>
  </TitlesOfParts>
  <Company>Communauté d'Agglomération du Grand Besançon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FRANCOIS Annie</dc:creator>
  <cp:lastModifiedBy>FRANCOIS Annie</cp:lastModifiedBy>
  <dcterms:created xsi:type="dcterms:W3CDTF">2023-12-11T13:02:27Z</dcterms:created>
  <dcterms:modified xsi:type="dcterms:W3CDTF">2024-02-09T15:45:11Z</dcterms:modified>
</cp:coreProperties>
</file>